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Stacey stuff\UMGC\620\Project 3\"/>
    </mc:Choice>
  </mc:AlternateContent>
  <bookViews>
    <workbookView xWindow="1170" yWindow="615" windowWidth="25950" windowHeight="14985" tabRatio="837" firstSheet="2" activeTab="3"/>
  </bookViews>
  <sheets>
    <sheet name="Instructions" sheetId="7" r:id="rId1"/>
    <sheet name="Income Statement" sheetId="1" r:id="rId2"/>
    <sheet name="Balance Sheet" sheetId="2" r:id="rId3"/>
    <sheet name="Cash Flow" sheetId="3" r:id="rId4"/>
    <sheet name="Cost and Investing" sheetId="4" r:id="rId5"/>
    <sheet name="Budget and Forecast" sheetId="5"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84" i="4" l="1"/>
  <c r="U60" i="4"/>
  <c r="U58" i="4"/>
  <c r="U57" i="4"/>
  <c r="U56" i="4"/>
  <c r="U55" i="4"/>
  <c r="U54" i="4"/>
  <c r="T60" i="4"/>
  <c r="T59" i="4"/>
  <c r="T58" i="4"/>
  <c r="T57" i="4"/>
  <c r="T56" i="4"/>
  <c r="T55" i="4"/>
  <c r="T54" i="4"/>
  <c r="S60" i="4"/>
  <c r="S59" i="4"/>
  <c r="S58" i="4"/>
  <c r="S57" i="4"/>
  <c r="S56" i="4"/>
  <c r="S55" i="4"/>
  <c r="S54" i="4"/>
  <c r="J24" i="2" l="1"/>
  <c r="O30" i="3"/>
  <c r="E82" i="3" l="1"/>
  <c r="D82" i="3"/>
  <c r="C82" i="3"/>
  <c r="E81" i="3"/>
  <c r="D81" i="3"/>
  <c r="C81" i="3"/>
  <c r="I12" i="1" l="1"/>
  <c r="I21" i="1"/>
  <c r="I31" i="1"/>
  <c r="Q6" i="1" l="1"/>
  <c r="Q7" i="1"/>
  <c r="Q8" i="1"/>
  <c r="Q9" i="1"/>
  <c r="Q10" i="1"/>
  <c r="Q11" i="1"/>
  <c r="Q12" i="1"/>
  <c r="Q13" i="1"/>
  <c r="Q14" i="1"/>
  <c r="Q15" i="1"/>
  <c r="Q16" i="1"/>
  <c r="Q17" i="1"/>
  <c r="Q18" i="1"/>
  <c r="Q19" i="1"/>
  <c r="Q20" i="1"/>
  <c r="Q21" i="1"/>
  <c r="Q22" i="1"/>
  <c r="Q23" i="1"/>
  <c r="Q24" i="1"/>
  <c r="Q25" i="1"/>
  <c r="Q26" i="1"/>
  <c r="Q27" i="1"/>
  <c r="Q28" i="1"/>
  <c r="Q29" i="1"/>
  <c r="Q30" i="1"/>
  <c r="Q31" i="1"/>
  <c r="Q5" i="1"/>
  <c r="D6" i="2"/>
  <c r="I7" i="3" l="1"/>
  <c r="I8" i="3"/>
  <c r="I9" i="3"/>
  <c r="I10" i="3"/>
  <c r="I11" i="3"/>
  <c r="I12" i="3"/>
  <c r="I13" i="3"/>
  <c r="I14" i="3"/>
  <c r="I15" i="3"/>
  <c r="I16" i="3"/>
  <c r="I17" i="3"/>
  <c r="I18" i="3"/>
  <c r="I19" i="3"/>
  <c r="I20" i="3"/>
  <c r="I21" i="3"/>
  <c r="I22" i="3"/>
  <c r="I24" i="3"/>
  <c r="I25" i="3"/>
  <c r="I26" i="3"/>
  <c r="I27" i="3"/>
  <c r="I28" i="3"/>
  <c r="I29" i="3"/>
  <c r="I30" i="3"/>
  <c r="I31" i="3"/>
  <c r="I32" i="3"/>
  <c r="I33" i="3"/>
  <c r="I34" i="3"/>
  <c r="I35" i="3"/>
  <c r="I36" i="3"/>
  <c r="I37" i="3"/>
  <c r="I38" i="3"/>
  <c r="I40" i="3"/>
  <c r="I41" i="3"/>
  <c r="I42" i="3"/>
  <c r="I43" i="3"/>
  <c r="I44" i="3"/>
  <c r="I45" i="3"/>
  <c r="I46" i="3"/>
  <c r="I47" i="3"/>
  <c r="I48" i="3"/>
  <c r="I49" i="3"/>
  <c r="I50" i="3"/>
  <c r="I51" i="3"/>
  <c r="I52" i="3"/>
  <c r="I53" i="3"/>
  <c r="I54" i="3"/>
  <c r="I55" i="3"/>
  <c r="I57" i="3"/>
  <c r="I58" i="3"/>
  <c r="I59" i="3"/>
  <c r="I5" i="3"/>
  <c r="M37" i="3" l="1"/>
  <c r="M36" i="3"/>
  <c r="M35" i="3"/>
  <c r="M34" i="3"/>
  <c r="M33" i="3"/>
  <c r="M32" i="3"/>
  <c r="M31" i="3"/>
  <c r="M30" i="3"/>
  <c r="M29" i="3"/>
  <c r="M28" i="3"/>
  <c r="M27" i="3"/>
  <c r="M26" i="3"/>
  <c r="M25" i="3"/>
  <c r="M21" i="3"/>
  <c r="M20" i="3"/>
  <c r="M19" i="3"/>
  <c r="M18" i="3"/>
  <c r="M16" i="3"/>
  <c r="M14" i="3"/>
  <c r="M13" i="3"/>
  <c r="M11" i="3"/>
  <c r="M10" i="3"/>
  <c r="M9" i="3"/>
  <c r="M12" i="3"/>
  <c r="M15" i="3"/>
  <c r="M8" i="3"/>
  <c r="M5" i="3"/>
  <c r="M7" i="3"/>
  <c r="Q37" i="3" l="1"/>
  <c r="Q36" i="3"/>
  <c r="Q35" i="3"/>
  <c r="Q34" i="3"/>
  <c r="Q33" i="3"/>
  <c r="Q32" i="3"/>
  <c r="Q31" i="3"/>
  <c r="Q30" i="3"/>
  <c r="Q29" i="3"/>
  <c r="Q28" i="3"/>
  <c r="Q27" i="3"/>
  <c r="Q26" i="3"/>
  <c r="Q25" i="3"/>
  <c r="Q23" i="3"/>
  <c r="Q22" i="3"/>
  <c r="Q21" i="3"/>
  <c r="Q20" i="3"/>
  <c r="Q19" i="3"/>
  <c r="Q18" i="3"/>
  <c r="Q16" i="3"/>
  <c r="Q15" i="3"/>
  <c r="Q14" i="3"/>
  <c r="Q13" i="3"/>
  <c r="Q12" i="3"/>
  <c r="Q11" i="3"/>
  <c r="Q10" i="3"/>
  <c r="Q9" i="3"/>
  <c r="Q8" i="3"/>
  <c r="Q5" i="3"/>
  <c r="Q7" i="3"/>
  <c r="O37" i="3"/>
  <c r="O36" i="3"/>
  <c r="O35" i="3"/>
  <c r="O34" i="3"/>
  <c r="O33" i="3"/>
  <c r="O32" i="3"/>
  <c r="O29" i="3"/>
  <c r="O28" i="3"/>
  <c r="O31" i="3"/>
  <c r="O27" i="3"/>
  <c r="O26" i="3"/>
  <c r="O25" i="3"/>
  <c r="O23" i="3"/>
  <c r="O22" i="3"/>
  <c r="O21" i="3"/>
  <c r="O20" i="3"/>
  <c r="O19" i="3"/>
  <c r="O18" i="3"/>
  <c r="O16" i="3"/>
  <c r="O15" i="3"/>
  <c r="O14" i="3"/>
  <c r="O13" i="3"/>
  <c r="O12" i="3"/>
  <c r="O11" i="3"/>
  <c r="O10" i="3"/>
  <c r="O9" i="3"/>
  <c r="O8" i="3"/>
  <c r="O7" i="3" l="1"/>
  <c r="O5" i="3"/>
  <c r="H59" i="3"/>
  <c r="H58" i="3"/>
  <c r="H57" i="3"/>
  <c r="H55" i="3"/>
  <c r="H54" i="3"/>
  <c r="H52" i="3"/>
  <c r="H51" i="3"/>
  <c r="H50" i="3"/>
  <c r="H49" i="3"/>
  <c r="H48" i="3"/>
  <c r="H47" i="3"/>
  <c r="H46" i="3"/>
  <c r="H45" i="3"/>
  <c r="H44" i="3"/>
  <c r="H43" i="3"/>
  <c r="H42" i="3"/>
  <c r="H41" i="3"/>
  <c r="H40" i="3"/>
  <c r="H38" i="3"/>
  <c r="H37" i="3"/>
  <c r="H36" i="3"/>
  <c r="H35" i="3"/>
  <c r="H34" i="3"/>
  <c r="H33" i="3"/>
  <c r="H32" i="3"/>
  <c r="H31" i="3"/>
  <c r="H29" i="3"/>
  <c r="H27" i="3"/>
  <c r="H26" i="3"/>
  <c r="H25" i="3"/>
  <c r="H24" i="3"/>
  <c r="H22" i="3"/>
  <c r="H21" i="3"/>
  <c r="H20" i="3"/>
  <c r="H19" i="3"/>
  <c r="H18" i="3"/>
  <c r="H17" i="3"/>
  <c r="H16" i="3"/>
  <c r="H7" i="3"/>
  <c r="H5" i="3"/>
  <c r="H15" i="3" l="1"/>
  <c r="H14" i="3"/>
  <c r="H12" i="3"/>
  <c r="H13" i="3"/>
  <c r="H10" i="3"/>
  <c r="H9" i="3"/>
  <c r="H8" i="3"/>
  <c r="F59" i="3"/>
  <c r="F58" i="3"/>
  <c r="F57" i="3"/>
  <c r="F55" i="3"/>
  <c r="F54" i="3"/>
  <c r="F52" i="3"/>
  <c r="F51" i="3"/>
  <c r="F50" i="3"/>
  <c r="F49" i="3"/>
  <c r="F48" i="3"/>
  <c r="F47" i="3"/>
  <c r="F46" i="3"/>
  <c r="F45" i="3"/>
  <c r="F44" i="3"/>
  <c r="F43" i="3"/>
  <c r="F42" i="3"/>
  <c r="F41" i="3"/>
  <c r="F40" i="3"/>
  <c r="F38" i="3"/>
  <c r="F37" i="3"/>
  <c r="F36" i="3"/>
  <c r="F35" i="3"/>
  <c r="F34" i="3"/>
  <c r="F33" i="3"/>
  <c r="F32" i="3"/>
  <c r="F31" i="3"/>
  <c r="F30" i="3"/>
  <c r="F29" i="3"/>
  <c r="F26" i="3"/>
  <c r="F25" i="3"/>
  <c r="F24" i="3"/>
  <c r="F22" i="3"/>
  <c r="F20" i="3"/>
  <c r="F19" i="3"/>
  <c r="F18" i="3"/>
  <c r="F17" i="3"/>
  <c r="F16" i="3"/>
  <c r="F15" i="3"/>
  <c r="F14" i="3"/>
  <c r="F12" i="3"/>
  <c r="F11" i="3"/>
  <c r="F9" i="3"/>
  <c r="F10" i="3"/>
  <c r="F8" i="3"/>
  <c r="F7" i="3"/>
  <c r="F5" i="3"/>
  <c r="P64" i="4" l="1"/>
  <c r="P63" i="4"/>
  <c r="M49" i="4"/>
  <c r="M46" i="4"/>
  <c r="M44" i="4"/>
  <c r="M42" i="4"/>
  <c r="M41" i="4"/>
  <c r="M39" i="4"/>
  <c r="M38" i="4"/>
  <c r="M36" i="4"/>
  <c r="H35" i="4"/>
  <c r="V54" i="4" l="1"/>
  <c r="P60" i="4"/>
  <c r="P59" i="4"/>
  <c r="P58" i="4"/>
  <c r="P57" i="4"/>
  <c r="P56" i="4"/>
  <c r="P55" i="4"/>
  <c r="F27" i="3"/>
  <c r="F21" i="3"/>
  <c r="F13" i="3"/>
  <c r="D43" i="5"/>
  <c r="D42" i="5"/>
  <c r="D41" i="5"/>
  <c r="D40" i="5"/>
  <c r="D39" i="5"/>
  <c r="D38" i="5"/>
  <c r="D37" i="5"/>
  <c r="E43" i="5" l="1"/>
  <c r="D44" i="5"/>
  <c r="D45" i="5" s="1"/>
  <c r="P61" i="4"/>
  <c r="V56" i="4"/>
  <c r="V57" i="4"/>
  <c r="V58" i="4"/>
  <c r="V60" i="4"/>
  <c r="D49" i="3"/>
  <c r="E44" i="5" l="1"/>
  <c r="E45" i="5" s="1"/>
  <c r="F43" i="5"/>
  <c r="S61" i="4"/>
  <c r="V55" i="4"/>
  <c r="T61" i="4"/>
  <c r="D14" i="3"/>
  <c r="F44" i="5" l="1"/>
  <c r="F45" i="5" s="1"/>
  <c r="G43" i="5"/>
  <c r="K26" i="4"/>
  <c r="K25" i="4"/>
  <c r="K24" i="4"/>
  <c r="K27" i="4" s="1"/>
  <c r="J26" i="4"/>
  <c r="L26" i="4" s="1"/>
  <c r="M26" i="4" s="1"/>
  <c r="J25" i="4"/>
  <c r="J24" i="4"/>
  <c r="K21" i="4"/>
  <c r="K20" i="4"/>
  <c r="K19" i="4"/>
  <c r="G44" i="5" l="1"/>
  <c r="G45" i="5" s="1"/>
  <c r="N26" i="4"/>
  <c r="J21" i="4"/>
  <c r="L21" i="4" s="1"/>
  <c r="M21" i="4" s="1"/>
  <c r="J20" i="4"/>
  <c r="L20" i="4" s="1"/>
  <c r="M20" i="4" s="1"/>
  <c r="J19" i="4"/>
  <c r="L19" i="4" s="1"/>
  <c r="M19" i="4" s="1"/>
  <c r="L25" i="4"/>
  <c r="M25" i="4" s="1"/>
  <c r="L24" i="4"/>
  <c r="J27" i="4"/>
  <c r="G25" i="5"/>
  <c r="G24" i="5"/>
  <c r="G23" i="5"/>
  <c r="G22" i="5"/>
  <c r="G21" i="5"/>
  <c r="G20" i="5"/>
  <c r="E25" i="5"/>
  <c r="E24" i="5"/>
  <c r="E23" i="5"/>
  <c r="E22" i="5"/>
  <c r="E21" i="5"/>
  <c r="E20" i="5"/>
  <c r="F25" i="5"/>
  <c r="F24" i="5"/>
  <c r="F23" i="5"/>
  <c r="F22" i="5"/>
  <c r="F21" i="5"/>
  <c r="F20" i="5"/>
  <c r="N25" i="4" l="1"/>
  <c r="M24" i="4"/>
  <c r="M27" i="4"/>
  <c r="L27" i="4"/>
  <c r="D25" i="5"/>
  <c r="D24" i="5"/>
  <c r="D23" i="5"/>
  <c r="D22" i="5"/>
  <c r="D21" i="5"/>
  <c r="D20" i="5"/>
  <c r="D35" i="5"/>
  <c r="D34" i="5"/>
  <c r="D33" i="5"/>
  <c r="D31" i="5"/>
  <c r="D30" i="5"/>
  <c r="D29" i="5"/>
  <c r="D28" i="5"/>
  <c r="O26" i="4" l="1"/>
  <c r="P26" i="4" s="1"/>
  <c r="O25" i="4"/>
  <c r="P25" i="4" s="1"/>
  <c r="O24" i="4"/>
  <c r="P24" i="4" s="1"/>
  <c r="P27" i="4" s="1"/>
  <c r="N24" i="4"/>
  <c r="N27" i="4" s="1"/>
  <c r="L42" i="2"/>
  <c r="L41" i="2"/>
  <c r="L40" i="2"/>
  <c r="L39" i="2"/>
  <c r="L38" i="2"/>
  <c r="L37" i="2"/>
  <c r="L36" i="2"/>
  <c r="L34" i="2"/>
  <c r="L33" i="2"/>
  <c r="L32" i="2"/>
  <c r="L31" i="2"/>
  <c r="L30" i="2"/>
  <c r="L29" i="2"/>
  <c r="L28" i="2"/>
  <c r="L27" i="2"/>
  <c r="L26" i="2"/>
  <c r="L25" i="2"/>
  <c r="L24" i="2"/>
  <c r="J42" i="2"/>
  <c r="J41" i="2"/>
  <c r="J40" i="2"/>
  <c r="J39" i="2"/>
  <c r="J38" i="2"/>
  <c r="J37" i="2"/>
  <c r="J36" i="2"/>
  <c r="J34" i="2"/>
  <c r="J33" i="2"/>
  <c r="J32" i="2"/>
  <c r="J31" i="2"/>
  <c r="J30" i="2"/>
  <c r="J29" i="2"/>
  <c r="J28" i="2"/>
  <c r="J27" i="2"/>
  <c r="J26" i="2"/>
  <c r="J25" i="2"/>
  <c r="L21" i="2"/>
  <c r="L20" i="2"/>
  <c r="L19" i="2"/>
  <c r="L18" i="2"/>
  <c r="L17" i="2"/>
  <c r="L16" i="2"/>
  <c r="L15" i="2"/>
  <c r="L14" i="2"/>
  <c r="L13" i="2"/>
  <c r="L12" i="2"/>
  <c r="L11" i="2"/>
  <c r="L10" i="2"/>
  <c r="L9" i="2"/>
  <c r="L8" i="2"/>
  <c r="L7" i="2"/>
  <c r="L6" i="2"/>
  <c r="J21" i="2"/>
  <c r="J20" i="2"/>
  <c r="J19" i="2"/>
  <c r="J18" i="2"/>
  <c r="J17" i="2"/>
  <c r="J16" i="2"/>
  <c r="J15" i="2"/>
  <c r="J14" i="2"/>
  <c r="J13" i="2"/>
  <c r="J12" i="2"/>
  <c r="J11" i="2"/>
  <c r="J10" i="2"/>
  <c r="J9" i="2"/>
  <c r="J8" i="2"/>
  <c r="J7" i="2"/>
  <c r="J6" i="2"/>
  <c r="F44" i="2"/>
  <c r="F43" i="2"/>
  <c r="F42" i="2"/>
  <c r="F41" i="2"/>
  <c r="F40" i="2"/>
  <c r="F39" i="2"/>
  <c r="F38" i="2"/>
  <c r="D44" i="2"/>
  <c r="D43" i="2"/>
  <c r="D42" i="2"/>
  <c r="D41" i="2"/>
  <c r="D40" i="2"/>
  <c r="D39" i="2"/>
  <c r="D38" i="2"/>
  <c r="F36" i="2"/>
  <c r="F35" i="2"/>
  <c r="F34" i="2"/>
  <c r="F33" i="2"/>
  <c r="F32" i="2"/>
  <c r="F31" i="2"/>
  <c r="F30" i="2"/>
  <c r="F29" i="2"/>
  <c r="F28" i="2"/>
  <c r="F27" i="2"/>
  <c r="F26" i="2"/>
  <c r="F25" i="2"/>
  <c r="F24" i="2"/>
  <c r="F23" i="2"/>
  <c r="D36" i="2"/>
  <c r="D35" i="2"/>
  <c r="D34" i="2"/>
  <c r="D33" i="2"/>
  <c r="D32" i="2"/>
  <c r="D31" i="2"/>
  <c r="D30" i="2"/>
  <c r="D29" i="2"/>
  <c r="D28" i="2"/>
  <c r="D27" i="2"/>
  <c r="D26" i="2"/>
  <c r="D25" i="2"/>
  <c r="D24" i="2"/>
  <c r="D23" i="2"/>
  <c r="F20" i="2"/>
  <c r="F19" i="2"/>
  <c r="F18" i="2"/>
  <c r="F17" i="2"/>
  <c r="F16" i="2"/>
  <c r="F15" i="2"/>
  <c r="F14" i="2"/>
  <c r="F13" i="2"/>
  <c r="F12" i="2"/>
  <c r="F11" i="2"/>
  <c r="F10" i="2"/>
  <c r="F9" i="2"/>
  <c r="F8" i="2"/>
  <c r="F7" i="2"/>
  <c r="F6" i="2"/>
  <c r="D20" i="2"/>
  <c r="D19" i="2"/>
  <c r="D18" i="2"/>
  <c r="D17" i="2"/>
  <c r="D16" i="2"/>
  <c r="D15" i="2"/>
  <c r="D14" i="2"/>
  <c r="D13" i="2"/>
  <c r="D12" i="2"/>
  <c r="D11" i="2"/>
  <c r="D21" i="2" s="1"/>
  <c r="D10" i="2"/>
  <c r="D8" i="2"/>
  <c r="D7" i="2"/>
  <c r="D9" i="2"/>
  <c r="P31" i="1"/>
  <c r="P30" i="1"/>
  <c r="P28" i="1"/>
  <c r="P27" i="1"/>
  <c r="P26" i="1"/>
  <c r="P25" i="1"/>
  <c r="P24" i="1"/>
  <c r="P23" i="1"/>
  <c r="P22" i="1"/>
  <c r="P21" i="1"/>
  <c r="P20" i="1"/>
  <c r="P19" i="1"/>
  <c r="P18" i="1"/>
  <c r="P17" i="1"/>
  <c r="P16" i="1"/>
  <c r="P15" i="1"/>
  <c r="N31" i="1"/>
  <c r="N30" i="1"/>
  <c r="N28" i="1"/>
  <c r="N27" i="1"/>
  <c r="N26" i="1"/>
  <c r="N25" i="1"/>
  <c r="N24" i="1"/>
  <c r="N23" i="1"/>
  <c r="N22" i="1"/>
  <c r="N21" i="1"/>
  <c r="N20" i="1"/>
  <c r="N19" i="1"/>
  <c r="N18" i="1"/>
  <c r="N17" i="1"/>
  <c r="N16" i="1"/>
  <c r="N15" i="1"/>
  <c r="L31" i="1"/>
  <c r="L30" i="1"/>
  <c r="L28" i="1"/>
  <c r="L27" i="1"/>
  <c r="L26" i="1"/>
  <c r="L25" i="1"/>
  <c r="L24" i="1"/>
  <c r="L23" i="1"/>
  <c r="L22" i="1"/>
  <c r="L21" i="1"/>
  <c r="P12" i="1"/>
  <c r="P11" i="1"/>
  <c r="P10" i="1"/>
  <c r="P13" i="1" s="1"/>
  <c r="P9" i="1"/>
  <c r="P8" i="1"/>
  <c r="P7" i="1"/>
  <c r="P6" i="1"/>
  <c r="P5" i="1"/>
  <c r="N12" i="1"/>
  <c r="N11" i="1"/>
  <c r="N10" i="1"/>
  <c r="N13" i="1" s="1"/>
  <c r="N9" i="1"/>
  <c r="N8" i="1"/>
  <c r="N7" i="1"/>
  <c r="N6" i="1"/>
  <c r="N5" i="1"/>
  <c r="L20" i="1"/>
  <c r="L19" i="1"/>
  <c r="L18" i="1"/>
  <c r="L17" i="1"/>
  <c r="L16" i="1"/>
  <c r="L15" i="1"/>
  <c r="L12" i="1"/>
  <c r="L11" i="1"/>
  <c r="L10" i="1"/>
  <c r="L13" i="1" s="1"/>
  <c r="L9" i="1"/>
  <c r="L8" i="1"/>
  <c r="L7" i="1"/>
  <c r="L6" i="1"/>
  <c r="L5" i="1"/>
  <c r="H33" i="1"/>
  <c r="H32" i="1"/>
  <c r="F33" i="1"/>
  <c r="F32" i="1"/>
  <c r="H20" i="1"/>
  <c r="H19" i="1"/>
  <c r="H18" i="1"/>
  <c r="H17" i="1"/>
  <c r="H16" i="1"/>
  <c r="H15" i="1"/>
  <c r="H14" i="1"/>
  <c r="H13" i="1"/>
  <c r="H30" i="1"/>
  <c r="H29" i="1"/>
  <c r="H28" i="1"/>
  <c r="H27" i="1"/>
  <c r="H26" i="1"/>
  <c r="H25" i="1"/>
  <c r="H24" i="1"/>
  <c r="H23" i="1"/>
  <c r="H22" i="1"/>
  <c r="F30" i="1"/>
  <c r="F29" i="1"/>
  <c r="F28" i="1"/>
  <c r="F27" i="1"/>
  <c r="F26" i="1"/>
  <c r="F25" i="1"/>
  <c r="F24" i="1"/>
  <c r="F23" i="1"/>
  <c r="F22" i="1"/>
  <c r="F20" i="1"/>
  <c r="F19" i="1"/>
  <c r="F18" i="1"/>
  <c r="F17" i="1"/>
  <c r="F16" i="1"/>
  <c r="F15" i="1"/>
  <c r="F14" i="1"/>
  <c r="F13" i="1"/>
  <c r="H10" i="1"/>
  <c r="H9" i="1"/>
  <c r="H8" i="1"/>
  <c r="H7" i="1"/>
  <c r="H6" i="1"/>
  <c r="H5" i="1"/>
  <c r="H11" i="1" s="1"/>
  <c r="F10" i="1"/>
  <c r="F9" i="1"/>
  <c r="F8" i="1"/>
  <c r="F7" i="1"/>
  <c r="F6" i="1"/>
  <c r="F5" i="1"/>
  <c r="F11" i="1" s="1"/>
  <c r="O27" i="4" l="1"/>
  <c r="F21" i="2"/>
  <c r="G48" i="5"/>
  <c r="F48" i="5"/>
  <c r="E48" i="5"/>
  <c r="G47" i="5"/>
  <c r="F47" i="5"/>
  <c r="E47" i="5"/>
  <c r="G41" i="5"/>
  <c r="F41" i="5"/>
  <c r="E41" i="5"/>
  <c r="G40" i="5"/>
  <c r="F40" i="5"/>
  <c r="E40" i="5"/>
  <c r="G39" i="5"/>
  <c r="F39" i="5"/>
  <c r="E39" i="5"/>
  <c r="G38" i="5"/>
  <c r="F38" i="5"/>
  <c r="E38" i="5"/>
  <c r="G37" i="5"/>
  <c r="G42" i="5" s="1"/>
  <c r="F37" i="5"/>
  <c r="F42" i="5" s="1"/>
  <c r="E37" i="5"/>
  <c r="E42" i="5" s="1"/>
  <c r="G35" i="5"/>
  <c r="F35" i="5"/>
  <c r="E35" i="5"/>
  <c r="G34" i="5"/>
  <c r="F34" i="5"/>
  <c r="E34" i="5"/>
  <c r="G33" i="5"/>
  <c r="F33" i="5"/>
  <c r="E33" i="5"/>
  <c r="C32" i="5"/>
  <c r="G31" i="5"/>
  <c r="F31" i="5"/>
  <c r="E31" i="5"/>
  <c r="G30" i="5"/>
  <c r="F30" i="5"/>
  <c r="E30" i="5"/>
  <c r="G29" i="5"/>
  <c r="F29" i="5"/>
  <c r="E29" i="5"/>
  <c r="G28" i="5"/>
  <c r="F28" i="5"/>
  <c r="E28" i="5"/>
  <c r="C26" i="5"/>
  <c r="C17" i="1"/>
  <c r="C11" i="1"/>
  <c r="D59" i="3" l="1"/>
  <c r="D58" i="3"/>
  <c r="D57" i="3"/>
  <c r="D55" i="3"/>
  <c r="D54" i="3"/>
  <c r="D52" i="3"/>
  <c r="D51" i="3"/>
  <c r="D50" i="3"/>
  <c r="D48" i="3"/>
  <c r="D47" i="3"/>
  <c r="D46" i="3"/>
  <c r="D45" i="3"/>
  <c r="D44" i="3"/>
  <c r="D43" i="3"/>
  <c r="D42" i="3"/>
  <c r="D41" i="3"/>
  <c r="D40" i="3"/>
  <c r="D38" i="3"/>
  <c r="D37" i="3"/>
  <c r="D36" i="3"/>
  <c r="D35" i="3"/>
  <c r="D34" i="3"/>
  <c r="D33" i="3"/>
  <c r="D32" i="3"/>
  <c r="D31" i="3"/>
  <c r="D30" i="3"/>
  <c r="D29" i="3"/>
  <c r="D28" i="3"/>
  <c r="D27" i="3"/>
  <c r="D26" i="3"/>
  <c r="D25" i="3"/>
  <c r="D24" i="3"/>
  <c r="D22" i="3"/>
  <c r="D21" i="3"/>
  <c r="D20" i="3"/>
  <c r="D19" i="3"/>
  <c r="D18" i="3"/>
  <c r="D17" i="3"/>
  <c r="D16" i="3"/>
  <c r="D15" i="3"/>
  <c r="D13" i="3"/>
  <c r="D12" i="3"/>
  <c r="D11" i="3"/>
  <c r="D10" i="3"/>
  <c r="D9" i="3"/>
  <c r="D8" i="3"/>
  <c r="D7" i="3"/>
  <c r="D5" i="3"/>
  <c r="D33" i="1"/>
  <c r="I33" i="1" s="1"/>
  <c r="D32" i="1"/>
  <c r="I32" i="1" s="1"/>
  <c r="D30" i="1"/>
  <c r="I30" i="1" s="1"/>
  <c r="D29" i="1"/>
  <c r="I29" i="1" s="1"/>
  <c r="D28" i="1"/>
  <c r="I28" i="1" s="1"/>
  <c r="D27" i="1"/>
  <c r="I27" i="1" s="1"/>
  <c r="D26" i="1"/>
  <c r="I26" i="1" s="1"/>
  <c r="D25" i="1"/>
  <c r="I25" i="1" s="1"/>
  <c r="D24" i="1"/>
  <c r="I24" i="1" s="1"/>
  <c r="D23" i="1"/>
  <c r="I23" i="1" s="1"/>
  <c r="D22" i="1"/>
  <c r="I22" i="1" s="1"/>
  <c r="D20" i="1"/>
  <c r="I20" i="1" s="1"/>
  <c r="D19" i="1"/>
  <c r="I19" i="1" s="1"/>
  <c r="D18" i="1"/>
  <c r="I18" i="1" s="1"/>
  <c r="D16" i="1"/>
  <c r="I16" i="1" s="1"/>
  <c r="D15" i="1"/>
  <c r="I15" i="1" s="1"/>
  <c r="D14" i="1"/>
  <c r="I14" i="1" s="1"/>
  <c r="D13" i="1"/>
  <c r="I13" i="1" s="1"/>
  <c r="D17" i="1"/>
  <c r="I17" i="1" s="1"/>
  <c r="G26" i="5"/>
  <c r="E26" i="5"/>
  <c r="F26" i="5"/>
  <c r="D26" i="5"/>
  <c r="G32" i="5"/>
  <c r="D32" i="5"/>
  <c r="D9" i="1"/>
  <c r="I9" i="1" s="1"/>
  <c r="D8" i="1"/>
  <c r="I8" i="1" s="1"/>
  <c r="D7" i="1"/>
  <c r="I7" i="1" s="1"/>
  <c r="D5" i="1"/>
  <c r="I5" i="1" s="1"/>
  <c r="D6" i="1"/>
  <c r="I6" i="1" s="1"/>
  <c r="D10" i="1"/>
  <c r="I10" i="1" s="1"/>
  <c r="E32" i="5"/>
  <c r="F32" i="5"/>
  <c r="I35" i="4"/>
  <c r="Z54" i="4" l="1"/>
  <c r="Y54" i="4"/>
  <c r="X54" i="4"/>
  <c r="J35" i="4"/>
  <c r="L35" i="4"/>
  <c r="K35" i="4"/>
  <c r="D11" i="1"/>
  <c r="I11" i="1" s="1"/>
  <c r="F50" i="4"/>
  <c r="E50" i="4"/>
  <c r="M35" i="4" l="1"/>
  <c r="AA54" i="4"/>
  <c r="G47" i="4"/>
  <c r="H48" i="4"/>
  <c r="I48" i="4" s="1"/>
  <c r="H47" i="4"/>
  <c r="I47" i="4" s="1"/>
  <c r="H45" i="4"/>
  <c r="I45" i="4" s="1"/>
  <c r="H43" i="4"/>
  <c r="I43" i="4" s="1"/>
  <c r="H40" i="4"/>
  <c r="I40" i="4" s="1"/>
  <c r="H37" i="4"/>
  <c r="I37" i="4" s="1"/>
  <c r="G50" i="4" l="1"/>
  <c r="U59" i="4"/>
  <c r="L37" i="4"/>
  <c r="Z55" i="4"/>
  <c r="Y55" i="4"/>
  <c r="X55" i="4"/>
  <c r="K37" i="4"/>
  <c r="J37" i="4"/>
  <c r="M37" i="4" s="1"/>
  <c r="Z56" i="4"/>
  <c r="Y56" i="4"/>
  <c r="X56" i="4"/>
  <c r="AA56" i="4" s="1"/>
  <c r="L40" i="4"/>
  <c r="K40" i="4"/>
  <c r="J40" i="4"/>
  <c r="M40" i="4" s="1"/>
  <c r="Z57" i="4"/>
  <c r="Y57" i="4"/>
  <c r="X57" i="4"/>
  <c r="L43" i="4"/>
  <c r="K43" i="4"/>
  <c r="J43" i="4"/>
  <c r="M43" i="4" s="1"/>
  <c r="Z58" i="4"/>
  <c r="Y58" i="4"/>
  <c r="X58" i="4"/>
  <c r="AA58" i="4" s="1"/>
  <c r="L45" i="4"/>
  <c r="K45" i="4"/>
  <c r="J45" i="4"/>
  <c r="Z59" i="4"/>
  <c r="Y59" i="4"/>
  <c r="X59" i="4"/>
  <c r="L47" i="4"/>
  <c r="K47" i="4"/>
  <c r="J47" i="4"/>
  <c r="M47" i="4" s="1"/>
  <c r="Z60" i="4"/>
  <c r="Y60" i="4"/>
  <c r="X60" i="4"/>
  <c r="AA60" i="4" s="1"/>
  <c r="L48" i="4"/>
  <c r="K48" i="4"/>
  <c r="J48" i="4"/>
  <c r="M48" i="4" s="1"/>
  <c r="I50" i="4"/>
  <c r="H50" i="4"/>
  <c r="AA59" i="4" l="1"/>
  <c r="M45" i="4"/>
  <c r="V59" i="4"/>
  <c r="V61" i="4" s="1"/>
  <c r="U61" i="4"/>
  <c r="AA57" i="4"/>
  <c r="AA55" i="4"/>
  <c r="X61" i="4"/>
  <c r="P77" i="4" s="1"/>
  <c r="P78" i="4" s="1"/>
  <c r="P79" i="4" s="1"/>
  <c r="Y61" i="4"/>
  <c r="Q77" i="4" s="1"/>
  <c r="Q78" i="4" s="1"/>
  <c r="Q79" i="4" s="1"/>
  <c r="Z61" i="4"/>
  <c r="J50" i="4"/>
  <c r="K50" i="4"/>
  <c r="L50" i="4"/>
  <c r="AA61" i="4" l="1"/>
  <c r="P65" i="4"/>
  <c r="P66" i="4" s="1"/>
  <c r="R77" i="4"/>
  <c r="R78" i="4" s="1"/>
  <c r="M50" i="4"/>
  <c r="T76" i="4" l="1"/>
  <c r="R84" i="4" s="1"/>
  <c r="R85" i="4" s="1"/>
  <c r="R79" i="4"/>
</calcChain>
</file>

<file path=xl/sharedStrings.xml><?xml version="1.0" encoding="utf-8"?>
<sst xmlns="http://schemas.openxmlformats.org/spreadsheetml/2006/main" count="491" uniqueCount="336">
  <si>
    <t>CHH</t>
  </si>
  <si>
    <t>MARIOTT</t>
  </si>
  <si>
    <t>Common Size Income Statements</t>
  </si>
  <si>
    <t>12 Months Ended</t>
  </si>
  <si>
    <t>Consolidated Statements of Income - USD ($) ($ in millions, except per share amounts)</t>
  </si>
  <si>
    <t>Consolidated Statements of Income - USD ($)</t>
  </si>
  <si>
    <t>Dec. 31, 2019</t>
  </si>
  <si>
    <t>% of Total revenues</t>
  </si>
  <si>
    <t>Dec. 31, 2018</t>
  </si>
  <si>
    <t>Dec. 31, 2017</t>
  </si>
  <si>
    <t>% CHANGE OVER THREE YEARS</t>
  </si>
  <si>
    <t>$ Change (2019-2017)</t>
  </si>
  <si>
    <t>REVENUES:</t>
  </si>
  <si>
    <t>REVENUES</t>
  </si>
  <si>
    <t>Royalty fees</t>
  </si>
  <si>
    <t>Base management fees</t>
  </si>
  <si>
    <t>Initial franchise and relicensing fees</t>
  </si>
  <si>
    <t>Franchise fees</t>
  </si>
  <si>
    <t>Procurement services</t>
  </si>
  <si>
    <t>Incentive management fees</t>
  </si>
  <si>
    <t>Marketing and reservation system</t>
  </si>
  <si>
    <t>Gross fee revenues</t>
  </si>
  <si>
    <t>Owned Hotels</t>
  </si>
  <si>
    <t>Contract investment amortization</t>
  </si>
  <si>
    <t>Other</t>
  </si>
  <si>
    <t>Net fee revenues</t>
  </si>
  <si>
    <t>Total revenues</t>
  </si>
  <si>
    <t>Owned, leased, and other revenue</t>
  </si>
  <si>
    <t>OPERATING EXPENSES:</t>
  </si>
  <si>
    <t>Cost reimbursement revenue</t>
  </si>
  <si>
    <t>Selling, general and administrative</t>
  </si>
  <si>
    <t>Depreciation and amortization</t>
  </si>
  <si>
    <t>OPERATING COSTS AND EXPENSES</t>
  </si>
  <si>
    <t>Owned, leased, and other-direct</t>
  </si>
  <si>
    <t>Depreciation, amortization, and other</t>
  </si>
  <si>
    <t>Total operating expenses</t>
  </si>
  <si>
    <t>General, administrative, and other</t>
  </si>
  <si>
    <t>Impairment of goodwill</t>
  </si>
  <si>
    <t>Merger-related costs and charges</t>
  </si>
  <si>
    <t>Gain on sale of assets, net</t>
  </si>
  <si>
    <t>Reimbursed expenses</t>
  </si>
  <si>
    <t>Operating income</t>
  </si>
  <si>
    <t>OTHER INCOME AND EXPENSES, NET:</t>
  </si>
  <si>
    <t>OPERATING INCOME</t>
  </si>
  <si>
    <t>Interest expense</t>
  </si>
  <si>
    <t>Gains and other income, net</t>
  </si>
  <si>
    <t>Interest income</t>
  </si>
  <si>
    <t>Loss on extinguishment of debt</t>
  </si>
  <si>
    <t>Other (gain) loss</t>
  </si>
  <si>
    <t>Equity in earnings</t>
  </si>
  <si>
    <t>Equity in net (income) loss of affiliates</t>
  </si>
  <si>
    <t>INCOME BEFORE INCOME TAXES</t>
  </si>
  <si>
    <t>Total other income and expenses, net</t>
  </si>
  <si>
    <t>Provision for income taxes</t>
  </si>
  <si>
    <t>Income before income taxes</t>
  </si>
  <si>
    <t>NET INCOME</t>
  </si>
  <si>
    <t>Income taxes</t>
  </si>
  <si>
    <t>EARNINGS PER SHARE</t>
  </si>
  <si>
    <t>Net income</t>
  </si>
  <si>
    <t>Earnings per share - basic</t>
  </si>
  <si>
    <t>Basic earnings per share:</t>
  </si>
  <si>
    <t>Earnings per share - diluted</t>
  </si>
  <si>
    <t>Basic earnings per share (in dollars per share)</t>
  </si>
  <si>
    <t>Diluted earnings per share (in dollars per share)</t>
  </si>
  <si>
    <t xml:space="preserve">Questions: </t>
  </si>
  <si>
    <t>1. What are two accounts in the Choice Hotels income statement that show the biggest change over the past 3 years? What information in the 10-K report helps to explain these changes?</t>
  </si>
  <si>
    <t>The two accounts that had the biggest changes in 3 years are "income taxes" and "net income"</t>
  </si>
  <si>
    <t xml:space="preserve">The two largest changest in accounts are "Net income" and "Income Taxes". This can be explained by examining the 10-K report for CHH. In the 10-K it can be read on page 37, " 	
On February 1, 2018, the Company acquired WoodSpring Hotels Franchise Services LLC which contributed to the increase in franchising revenues totaling $29.5 million, operating income of $8.1 million and income before income taxes of $1.1 million in 2018. Operating income and income before income taxes in 2018 also reflect an impairment of non-franchising goodwill of $4.3 million and a loan valuation allowance charge of $2.8 million.
Essentially, there was an increase in franchising over this time. When a company franchises, it can increase its tax deductions for that franchise and lower its overall income tax. Thus, at the same time increasing its net income. </t>
  </si>
  <si>
    <t>2. What are two accounts in the Marriott income statement that show the biggest change over the past 3 years? What information in the 10-K report helps to explain these changes?</t>
  </si>
  <si>
    <t xml:space="preserve">The two main accounts that appear to have the greatest change are “Owned, leased, and other-direct” [under Operating Cost Expenses] and “reimbursed expenses”. The reason for this is actually and accounting adjustment. Within the 10-K, Marriott states "	
In 2019, we adopted ASU No. 2016-02, which brought substantially all leases onto the balance sheet. Years before 2019 have not been adjusted for this new accounting standard." So, the standards have not yet changed. This would explain why there is no data for 2019 as it is not in accordance with the years prior. 
</t>
  </si>
  <si>
    <t>3. Which of the two companies has the financially stronger income statement? Explain your rationale thoroughly.</t>
  </si>
  <si>
    <t xml:space="preserve">The company with the stronger income statement is CHH. Both companies have strong income statements yielding positive income. Both are thorough yet Marriott has a bit a weakness in not having some information giving the answer previous this this. So therefore, CHH has the stronger income statement. While the EPS is lower, current, and most recent financial records are all accounted for an investor to do forecast statistics and make an educated decision on an investment. If both were equally as strong in content, it would be Marriott given the higher EPS percentage. However, investors are more likely to find trust in CHH when making an investment decision due to the complete information and completed adjustments to any data that underwent a change in formatting, unlike Marriott. If both were equal in quality, the company that has the higher yield of percentage in EPS would be the one with the stronger income statement. If they are the same in strength, an investor would want to know which one would have the best investment return for them in terms of stocks/shares. </t>
  </si>
  <si>
    <t>Common Size Balance Sheets</t>
  </si>
  <si>
    <t>Consolidated Balance Sheets - USD ($) $ in Thousands</t>
  </si>
  <si>
    <t>% of Total assets</t>
  </si>
  <si>
    <t>Consolidated Balance Sheets - USD ($) $ in Millions</t>
  </si>
  <si>
    <t>Current assets</t>
  </si>
  <si>
    <t>Cash and cash equivalents</t>
  </si>
  <si>
    <t>Cash and equivalents</t>
  </si>
  <si>
    <t>Receivables (net of allowance for doubtful accounts of $18,482 and $15,905, respectively)</t>
  </si>
  <si>
    <t>Accounts and notes receivable, net</t>
  </si>
  <si>
    <t>Income taxes receivable</t>
  </si>
  <si>
    <t>Prepaid expenses and other</t>
  </si>
  <si>
    <t>Notes receivable, net of allowances</t>
  </si>
  <si>
    <t>Assets held for sale</t>
  </si>
  <si>
    <t>Other current assets</t>
  </si>
  <si>
    <t>Total current assets</t>
  </si>
  <si>
    <t>Property and equipment, net</t>
  </si>
  <si>
    <t>Property and equipment, at cost, net</t>
  </si>
  <si>
    <t>Intangible assets</t>
  </si>
  <si>
    <t>Operating lease right-of-use assets</t>
  </si>
  <si>
    <t>Brands</t>
  </si>
  <si>
    <t>Goodwill</t>
  </si>
  <si>
    <t>Contract acquisition costs and other</t>
  </si>
  <si>
    <t>Intangible assets, net</t>
  </si>
  <si>
    <t>Goodwill and intangible assets, net, total</t>
  </si>
  <si>
    <t>Investments, employee benefit plans, at fair value</t>
  </si>
  <si>
    <t>Equity method investments</t>
  </si>
  <si>
    <t>Investments in unconsolidated entities</t>
  </si>
  <si>
    <t>Notes receivable, net</t>
  </si>
  <si>
    <t>Deferred income taxes</t>
  </si>
  <si>
    <t>Deferred tax assets</t>
  </si>
  <si>
    <t>Other assets</t>
  </si>
  <si>
    <t>Operating lease assets</t>
  </si>
  <si>
    <t>Total assets</t>
  </si>
  <si>
    <t>Other noncurrent assets</t>
  </si>
  <si>
    <t>Current liabilities</t>
  </si>
  <si>
    <t>Accounts payable</t>
  </si>
  <si>
    <t>Accrued expenses and other current liabilities</t>
  </si>
  <si>
    <t>Current portion of long-term debt</t>
  </si>
  <si>
    <t>Current portion</t>
  </si>
  <si>
    <t>Liability for guest loyalty program</t>
  </si>
  <si>
    <t>Accrued payroll and benefits</t>
  </si>
  <si>
    <t>Total current liabilities</t>
  </si>
  <si>
    <t>Accrued expenses and other</t>
  </si>
  <si>
    <t>Long-term debt</t>
  </si>
  <si>
    <t>Long-term portion</t>
  </si>
  <si>
    <t>Deferred compensation and retirement plan obligations</t>
  </si>
  <si>
    <t>Income taxes payable</t>
  </si>
  <si>
    <t>Deferred tax liabilities</t>
  </si>
  <si>
    <t>Operating lease liabilities</t>
  </si>
  <si>
    <t>Deferred revenue</t>
  </si>
  <si>
    <t>Other noncurrent liabilities</t>
  </si>
  <si>
    <t>Other liabilities</t>
  </si>
  <si>
    <t>Shareholders’ equity</t>
  </si>
  <si>
    <t>Total liabilities</t>
  </si>
  <si>
    <t>Class A Common Stock</t>
  </si>
  <si>
    <t>Commitments and Contingencies</t>
  </si>
  <si>
    <t>Additional paid-in-capital</t>
  </si>
  <si>
    <t>Common stock, $0.01 par value; 160,000,000 shares authorized; 95,065,638 shares issued at December 31, 2019 and December 31, 2018; 55,702,628 and 55,679,207 shares outstanding at December 31, 2019 and December 31, 2018, respectively</t>
  </si>
  <si>
    <t>Retained earnings</t>
  </si>
  <si>
    <t>Treasury stock, at cost</t>
  </si>
  <si>
    <t>Accumulated other comprehensive loss</t>
  </si>
  <si>
    <t>Treasury stock, at cost; 39,363,010 and 39,386,431 shares at December 31, 2019 and December 31, 2018, respectively</t>
  </si>
  <si>
    <t>Total shareholders’ equity</t>
  </si>
  <si>
    <t>Total liabilities and shareholders’ equity</t>
  </si>
  <si>
    <t>Total shareholders’ deficit</t>
  </si>
  <si>
    <t>Total liabilities and shareholders’ deficit</t>
  </si>
  <si>
    <t>Questions:</t>
  </si>
  <si>
    <t>1. What are two accounts in the Choice Hotels balance sheet that show the biggest change over the past 2 years? What information in the 10-K report helps to explain these changes?</t>
  </si>
  <si>
    <t>2. What are two accounts in the Marriott balance sheet that show the biggest change over the past 2 years? What information in the 10-K report helps to explain these changes?</t>
  </si>
  <si>
    <t>3. Which of the two companies has the financially stronger balance sheet? Explain your rationale thoroughly.</t>
  </si>
  <si>
    <t>Common Size Statements of Cash Flow</t>
  </si>
  <si>
    <t>Consolidated Statements of Cash Flows</t>
  </si>
  <si>
    <t>% of Total Revenue</t>
  </si>
  <si>
    <t xml:space="preserve"> Total Cash flow in 3 year period</t>
  </si>
  <si>
    <t>Consolidated Statements of Cash Flows - ($ in Millions)</t>
  </si>
  <si>
    <t>CASH FLOWS FROM OPERATING ACTIVITIES</t>
  </si>
  <si>
    <t>OPERATING ACTIVITIES</t>
  </si>
  <si>
    <t>Adjustments to reconcile net income to net cash provided by operating activities:</t>
  </si>
  <si>
    <t>Adjustments to reconcile to cash provided by operating activities:</t>
  </si>
  <si>
    <t>Depreciation and amortization - marketing and reservation system</t>
  </si>
  <si>
    <t>Share-based compensation</t>
  </si>
  <si>
    <t>Franchise agreement acquisition cost amortization</t>
  </si>
  <si>
    <t>Impairment of long-lived assets</t>
  </si>
  <si>
    <t>Contract acquisition costs</t>
  </si>
  <si>
    <t>Loss on sale of business</t>
  </si>
  <si>
    <t>Merger-related charges</t>
  </si>
  <si>
    <t>Loss on debt extinguishment</t>
  </si>
  <si>
    <t>Working capital changes</t>
  </si>
  <si>
    <t>Gain on disposal of assets, net</t>
  </si>
  <si>
    <t>(Gain) loss on asset dispositions</t>
  </si>
  <si>
    <t>Provision for bad debts, net</t>
  </si>
  <si>
    <t>Non-cash stock compensation and other charges</t>
  </si>
  <si>
    <t>Net cash provided by operating activities</t>
  </si>
  <si>
    <t>Non-cash interest and other investment (income) loss</t>
  </si>
  <si>
    <t>INVESTING ACTIVITIES</t>
  </si>
  <si>
    <t>Capital expenditures</t>
  </si>
  <si>
    <t>Equity in net losses from unconsolidated joint ventures, less distributions received</t>
  </si>
  <si>
    <t>Dispositions</t>
  </si>
  <si>
    <t>Franchise agreement acquisition cost, net of reimbursements</t>
  </si>
  <si>
    <t>Loan advances</t>
  </si>
  <si>
    <t>Change in working capital and other, net of acquisition</t>
  </si>
  <si>
    <t>Loan collections</t>
  </si>
  <si>
    <t>CASH FLOWS FROM INVESTING ACTIVITIES</t>
  </si>
  <si>
    <t>Net cash (used in) provided by investing activities</t>
  </si>
  <si>
    <t>Investment in property and equipment</t>
  </si>
  <si>
    <t>FINANCING ACTIVITIES</t>
  </si>
  <si>
    <t>Investment in intangible assets</t>
  </si>
  <si>
    <t>Commercial paper/Credit Facility, net</t>
  </si>
  <si>
    <t>Proceeds from sales of assets</t>
  </si>
  <si>
    <t>Issuance of long-term debt</t>
  </si>
  <si>
    <t>Asset acquisition, net of cash acquired</t>
  </si>
  <si>
    <t>Repayment of long-term debt</t>
  </si>
  <si>
    <t>Proceeds from sale of unconsolidated joint venture</t>
  </si>
  <si>
    <t>Issuance of Class A Common Stock</t>
  </si>
  <si>
    <t>Business acquisition, net of cash acquired</t>
  </si>
  <si>
    <t>Dividends paid</t>
  </si>
  <si>
    <t>Payment on business disposition, net</t>
  </si>
  <si>
    <t>Purchase of treasury stock</t>
  </si>
  <si>
    <t>Contributions to equity method investments</t>
  </si>
  <si>
    <t>Share-based compensation withholding taxes</t>
  </si>
  <si>
    <t>Distributions from equity method investments</t>
  </si>
  <si>
    <t>Purchases of investments, employee benefit plans</t>
  </si>
  <si>
    <t>Net cash (used in) provided by financing activities</t>
  </si>
  <si>
    <t>Proceeds from sales of investments, employee benefit plans</t>
  </si>
  <si>
    <t>DECREASE IN CASH, CASH EQUIVALENTS, AND RESTRICTED CASH</t>
  </si>
  <si>
    <t>Issuance of notes receivable</t>
  </si>
  <si>
    <t>CASH, CASH EQUIVALENTS, AND RESTRICTED CASH, beginning of period (1)</t>
  </si>
  <si>
    <t>Collections of notes receivable</t>
  </si>
  <si>
    <t>CASH, CASH EQUIVALENTS, AND RESTRICTED CASH, end of period (1)</t>
  </si>
  <si>
    <t>Other items, net</t>
  </si>
  <si>
    <t>Restricted cash</t>
  </si>
  <si>
    <t>Net cash used in investing activities</t>
  </si>
  <si>
    <t>CASH FLOWS FROM FINANCING ACTIVITIES</t>
  </si>
  <si>
    <t>Proceeds from issuance of long term debt</t>
  </si>
  <si>
    <t>Net (repayments) borrowings pursuant to revolving credit facilities</t>
  </si>
  <si>
    <t>Principal payments on long-term debt</t>
  </si>
  <si>
    <t>Debt issuance costs</t>
  </si>
  <si>
    <t>Purchases of treasury stock</t>
  </si>
  <si>
    <t>Proceeds from transfer of interest in notes receivable</t>
  </si>
  <si>
    <t>Proceeds from exercise of stock options</t>
  </si>
  <si>
    <t>Net cash used in financing activities</t>
  </si>
  <si>
    <t>Net change in cash and cash equivalents</t>
  </si>
  <si>
    <t>Effect of foreign exchange rate changes on cash and cash equivalents</t>
  </si>
  <si>
    <t>Cash and cash equivalents at beginning of period</t>
  </si>
  <si>
    <t>Cash and cash equivalents at end of period</t>
  </si>
  <si>
    <t>Cash payments during the year for:</t>
  </si>
  <si>
    <t>Income taxes, net of refunds</t>
  </si>
  <si>
    <t>Interest, net of capitalized interest</t>
  </si>
  <si>
    <t>Non-cash investing and financing activities:</t>
  </si>
  <si>
    <t>Dividends declared but not paid</t>
  </si>
  <si>
    <t>Investment in property, equipment and intangibles acquired in accounts payable and accrued liabilities</t>
  </si>
  <si>
    <t>Seller-financing to purchaser</t>
  </si>
  <si>
    <t>1.  What were the two largest cash outflows for each company over the 3-year period?</t>
  </si>
  <si>
    <t>The two largest cash outflows from Choice Hotels were Principal of long-term debt and purchase treasury stock. Marriott their two largest were outflows  were purchases of treasury  stock and payments of long-term debt.</t>
  </si>
  <si>
    <t>2. Why did Marriott have a cash inflow in 2017 from investing activities? Hint: See 10-K Report.</t>
  </si>
  <si>
    <t>In 2017, Marriott had a cash inflow partially due to the sale of its North American properties as well as the sale of its Avedra LLC percentage.</t>
  </si>
  <si>
    <t>3.  What are the most significant trends for both companies?</t>
  </si>
  <si>
    <t>The most signicant trends in both companies is that Choice Hotels has continously seen an increase in net income and they are paying more of their long term debt as well business acquisition was zero in 2017 over 200,000 in 2018 and back to 0 in 2019. However in the case of Marriott, their dispositions keeps decreasing , treasury stock repurchase  has decreased over the years.</t>
  </si>
  <si>
    <t>4. Can you check that CF(operations) + CF(financing) + CF(investing) is equal the the change of Cash position from one year to the other. What does it tell you? (open)</t>
  </si>
  <si>
    <t xml:space="preserve">Choice Hotels </t>
  </si>
  <si>
    <t>Marriott</t>
  </si>
  <si>
    <t>Yes we can check that CF(operations)+ CF (financing) + CF (investing) is equal to the change of Cash position from year to the other . ( Please see above for calculations for both organizations). If the numbers are correct on the CFS it should  be equivalent to the change in cash on the BS.</t>
  </si>
  <si>
    <t>Choice Hotels Sales, Production, and Cost Information</t>
  </si>
  <si>
    <t>Overhead Costs</t>
  </si>
  <si>
    <t>Room Type</t>
  </si>
  <si>
    <t>Standard Guest Room</t>
  </si>
  <si>
    <t>Junior Suite</t>
  </si>
  <si>
    <t>Presidential Suite</t>
  </si>
  <si>
    <t>Type</t>
  </si>
  <si>
    <t>Cost</t>
  </si>
  <si>
    <t>Volume</t>
  </si>
  <si>
    <t>Depreciation</t>
  </si>
  <si>
    <t>Price</t>
  </si>
  <si>
    <t>Maintenance</t>
  </si>
  <si>
    <t>Unit costs</t>
  </si>
  <si>
    <t>Purchasing</t>
  </si>
  <si>
    <t>Direct materials</t>
  </si>
  <si>
    <t>Inspection</t>
  </si>
  <si>
    <t>Direct labor</t>
  </si>
  <si>
    <t>Indirect materials</t>
  </si>
  <si>
    <t>Manufacturing overhead</t>
  </si>
  <si>
    <t>Supervision</t>
  </si>
  <si>
    <t>Supplies</t>
  </si>
  <si>
    <t>Total unit cost</t>
  </si>
  <si>
    <t>Total manufacturing overhead cost</t>
  </si>
  <si>
    <t>Unit gross profit</t>
  </si>
  <si>
    <t>Note: Manufacturing overhead costs are fixed. They do not vary with the volume of manufacturing activity.</t>
  </si>
  <si>
    <t>Direct labor hours</t>
  </si>
  <si>
    <t>Rate per hour</t>
  </si>
  <si>
    <t>Answer Questions 1 and 2 Below:</t>
  </si>
  <si>
    <t>Total manufacturing overhead costs</t>
  </si>
  <si>
    <t>Rate per unit</t>
  </si>
  <si>
    <t># of  Rooms</t>
  </si>
  <si>
    <t>Total Overhead</t>
  </si>
  <si>
    <t>% of total Overhead</t>
  </si>
  <si>
    <t>Standard</t>
  </si>
  <si>
    <t>Junior</t>
  </si>
  <si>
    <t>Presidential</t>
  </si>
  <si>
    <t>Labor Hours</t>
  </si>
  <si>
    <t>Units</t>
  </si>
  <si>
    <t>Total labor Hours</t>
  </si>
  <si>
    <t>Total Cost of labor</t>
  </si>
  <si>
    <t>labor per unit</t>
  </si>
  <si>
    <t>% of total labor</t>
  </si>
  <si>
    <t>% of overhead per unit</t>
  </si>
  <si>
    <t>Totals</t>
  </si>
  <si>
    <t>Choice Hotels’ controller developed the following data for use in activity-based costing: Complete the calculations to help you answer the questions below.</t>
  </si>
  <si>
    <t>Amount</t>
  </si>
  <si>
    <t>Cost driver</t>
  </si>
  <si>
    <t>Sum of Cost Drivers</t>
  </si>
  <si>
    <t>Cost per cost driver</t>
  </si>
  <si>
    <t>Cost per Standard Guest room</t>
  </si>
  <si>
    <t>Cost per Junior Suite</t>
  </si>
  <si>
    <t>Cost per Presidential Suite</t>
  </si>
  <si>
    <t>Check</t>
  </si>
  <si>
    <t>Square feet</t>
  </si>
  <si>
    <t># of purchase orders</t>
  </si>
  <si>
    <t># of inspections</t>
  </si>
  <si>
    <t>Indirect</t>
  </si>
  <si>
    <t>Units manufactured</t>
  </si>
  <si>
    <t>materials</t>
  </si>
  <si>
    <t>Total</t>
  </si>
  <si>
    <t>Answer Questions 3 to 10 Below:</t>
  </si>
  <si>
    <t>Allocation Basis</t>
  </si>
  <si>
    <t>Activity Based Costing</t>
  </si>
  <si>
    <t xml:space="preserve">      Cost Driver</t>
  </si>
  <si>
    <t>Square ft.</t>
  </si>
  <si>
    <t>Direct labor hrs.</t>
  </si>
  <si>
    <t># purchase orders</t>
  </si>
  <si>
    <t># of units</t>
  </si>
  <si>
    <t>Direct Materials</t>
  </si>
  <si>
    <t>Direct Labor</t>
  </si>
  <si>
    <t>Allocated Overhead Cost</t>
  </si>
  <si>
    <t>Total Manufacturing Cost</t>
  </si>
  <si>
    <t>Standard Room</t>
  </si>
  <si>
    <t>Direct Material</t>
  </si>
  <si>
    <t xml:space="preserve">Selling price </t>
  </si>
  <si>
    <t>Gross Profit Rate</t>
  </si>
  <si>
    <t>Unit Contribution = Selling Price (from Q6) - Variable Cost (310,000 + 640,000) =</t>
  </si>
  <si>
    <t xml:space="preserve">Break-Even Point (Units) = Total Fixed Costs / Unit Contribution = </t>
  </si>
  <si>
    <t>In a February 15, 2020 Press Release, Choice Hotels announced the company's 2019 fourth quarter and full year results. Using the data from this press release, create a 2020 budget and forecast.</t>
  </si>
  <si>
    <t>http://investor.choicehotels.com/financial-performance-and-presentations?item=46</t>
  </si>
  <si>
    <t>To complete the budget, use the following information:</t>
  </si>
  <si>
    <t>Revenues are expected to grow at a rate of 2.5% according to the full-year outlook.</t>
  </si>
  <si>
    <t>Given the expected growth and recent investments, expenses are expected to increase by 1%.</t>
  </si>
  <si>
    <t>Income taxes are expected to be 22%</t>
  </si>
  <si>
    <t>To complete the forecast, use the following information:</t>
  </si>
  <si>
    <t>The low-range forecast is expected to be 2%</t>
  </si>
  <si>
    <t>The mid-range forecast is expected to be 2.5%</t>
  </si>
  <si>
    <t>The high-range forecast is expected to be 3%</t>
  </si>
  <si>
    <t>Forecast</t>
  </si>
  <si>
    <t>Budget</t>
  </si>
  <si>
    <t>Low</t>
  </si>
  <si>
    <t>Midpoint</t>
  </si>
  <si>
    <t>High</t>
  </si>
  <si>
    <t>Dec. 31, 2020</t>
  </si>
  <si>
    <t>Target</t>
  </si>
  <si>
    <t>Expectation</t>
  </si>
  <si>
    <t>1. Which revenue category is the most important to forecast accurately? Explain your rationale for your selection.</t>
  </si>
  <si>
    <t>Marketing and reservation system is the largest of all the revenue categories in the list. The reservation system expense is one the largest items and is necessary for providing a centralized reservation and property management system, and performing certain franchise services to support the operation of the overall franchise system. 
An extended period of occupancy or room rate declines or a decline in the number of hotel rooms in the franchise system could result in the generation of insufficient funds to recover system services advances as well as meet the ongoing system service needs of our franchisees. This underscores why this revenue category must be forecast accurately.</t>
  </si>
  <si>
    <t>2. Which expense category is the most important to forecast accurately? Explain your rationale for your selection.</t>
  </si>
  <si>
    <t>The marketing and reservation category is once again the most important to forcast accurately. Its one of the largest expanses because it may require technology upgrades and top down management for franchise owners. It is vital to generating revenue and is a centralized system so it must work effectively.</t>
  </si>
  <si>
    <t>3. Explain thoroughly why budgeting revenue and operating expense is important.</t>
  </si>
  <si>
    <t>Revenue and expense are the two factors that determine solvency. Having too much debt (expenses) and not enough income (revenues) could mean that company is not doing well. Each line item in this category is imortant to understanding what targets should be set, and what area need to have costs reduced in order to be profitable.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</si>
</sst>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_);[Red]\(&quot;$&quot;#,##0\)"/>
    <numFmt numFmtId="8" formatCode="&quot;$&quot;#,##0.00_);[Red]\(&quot;$&quot;#,##0.00\)"/>
    <numFmt numFmtId="44" formatCode="_(&quot;$&quot;* #,##0.00_);_(&quot;$&quot;* \(#,##0.00\);_(&quot;$&quot;* &quot;-&quot;??_);_(@_)"/>
    <numFmt numFmtId="164" formatCode="_(&quot;$&quot;* #,##0_);_(&quot;$&quot;* \(#,##0\);_(&quot;$&quot;* &quot;-&quot;??_);_(@_)"/>
    <numFmt numFmtId="165" formatCode="0.00000000000%"/>
    <numFmt numFmtId="166" formatCode="&quot;$&quot;#,##0"/>
    <numFmt numFmtId="167" formatCode="&quot;$&quot;#,##0.00"/>
    <numFmt numFmtId="168" formatCode="_([$$-409]* #,##0.00_);_([$$-409]* \(#,##0.00\);_([$$-409]* &quot;-&quot;??_);_(@_)"/>
    <numFmt numFmtId="169" formatCode="_([$$-409]* #,##0_);_([$$-409]* \(#,##0\);_([$$-409]* &quot;-&quot;??_);_(@_)"/>
    <numFmt numFmtId="170" formatCode="0.000000000"/>
  </numFmts>
  <fonts count="10"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u/>
      <sz val="11"/>
      <color theme="1"/>
      <name val="Calibri"/>
      <family val="2"/>
      <scheme val="minor"/>
    </font>
    <font>
      <sz val="11"/>
      <name val="Calibri"/>
      <family val="2"/>
      <scheme val="minor"/>
    </font>
    <font>
      <sz val="11"/>
      <name val="Calibri"/>
      <family val="2"/>
    </font>
    <font>
      <sz val="11"/>
      <color rgb="FF000000"/>
      <name val="Calibri"/>
      <charset val="1"/>
    </font>
    <font>
      <sz val="11"/>
      <color rgb="FFFF0000"/>
      <name val="Calibri"/>
      <family val="2"/>
      <scheme val="minor"/>
    </font>
    <font>
      <b/>
      <sz val="11"/>
      <color rgb="FFFF0000"/>
      <name val="Calibri"/>
      <family val="2"/>
      <scheme val="minor"/>
    </font>
  </fonts>
  <fills count="10">
    <fill>
      <patternFill patternType="none"/>
    </fill>
    <fill>
      <patternFill patternType="gray125"/>
    </fill>
    <fill>
      <patternFill patternType="solid">
        <fgColor theme="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FFFF00"/>
        <bgColor indexed="64"/>
      </patternFill>
    </fill>
    <fill>
      <patternFill patternType="solid">
        <fgColor rgb="FFFFFFFF"/>
        <bgColor indexed="64"/>
      </patternFill>
    </fill>
    <fill>
      <patternFill patternType="solid">
        <fgColor rgb="FF70AD47"/>
        <bgColor indexed="64"/>
      </patternFill>
    </fill>
    <fill>
      <patternFill patternType="solid">
        <fgColor rgb="FFE7E6E6"/>
        <bgColor indexed="64"/>
      </patternFill>
    </fill>
  </fills>
  <borders count="18">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174">
    <xf numFmtId="0" fontId="0" fillId="0" borderId="0" xfId="0"/>
    <xf numFmtId="0" fontId="2" fillId="0" borderId="2" xfId="0" applyFont="1" applyBorder="1" applyAlignment="1">
      <alignment horizontal="center" vertical="center" wrapText="1"/>
    </xf>
    <xf numFmtId="0" fontId="0" fillId="0" borderId="3" xfId="0" applyFont="1" applyBorder="1" applyAlignment="1">
      <alignment horizontal="center" vertical="center" wrapText="1"/>
    </xf>
    <xf numFmtId="6" fontId="2" fillId="0" borderId="3"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0" fillId="0" borderId="2" xfId="0" applyFont="1" applyBorder="1" applyAlignment="1">
      <alignment horizontal="center" vertical="center" wrapText="1"/>
    </xf>
    <xf numFmtId="6" fontId="0" fillId="0" borderId="3" xfId="0" applyNumberFormat="1" applyFont="1" applyBorder="1" applyAlignment="1">
      <alignment horizontal="center" vertical="center" wrapText="1"/>
    </xf>
    <xf numFmtId="6" fontId="0" fillId="0" borderId="5" xfId="0" applyNumberFormat="1" applyFont="1" applyBorder="1" applyAlignment="1">
      <alignment horizontal="center" vertical="center" wrapText="1"/>
    </xf>
    <xf numFmtId="0" fontId="2" fillId="0" borderId="4" xfId="0" applyFont="1" applyBorder="1" applyAlignment="1">
      <alignment horizontal="center" vertical="center" wrapText="1"/>
    </xf>
    <xf numFmtId="3" fontId="0" fillId="0" borderId="5" xfId="0" applyNumberFormat="1" applyFont="1" applyBorder="1" applyAlignment="1">
      <alignment horizontal="center" vertical="center" wrapText="1"/>
    </xf>
    <xf numFmtId="8" fontId="0" fillId="0" borderId="5" xfId="0" applyNumberFormat="1" applyFont="1" applyBorder="1" applyAlignment="1">
      <alignment horizontal="center" vertical="center" wrapText="1"/>
    </xf>
    <xf numFmtId="0" fontId="0" fillId="3" borderId="0" xfId="0" applyFill="1"/>
    <xf numFmtId="6" fontId="0" fillId="3" borderId="5" xfId="0" applyNumberFormat="1" applyFont="1" applyFill="1" applyBorder="1" applyAlignment="1">
      <alignment horizontal="center" vertical="center" wrapText="1"/>
    </xf>
    <xf numFmtId="0" fontId="0" fillId="3" borderId="5" xfId="0" applyFont="1" applyFill="1" applyBorder="1" applyAlignment="1">
      <alignment horizontal="center" vertical="center" wrapText="1"/>
    </xf>
    <xf numFmtId="3" fontId="0" fillId="3" borderId="5" xfId="0" applyNumberFormat="1" applyFont="1" applyFill="1" applyBorder="1" applyAlignment="1">
      <alignment horizontal="center" vertical="center" wrapText="1"/>
    </xf>
    <xf numFmtId="44" fontId="0" fillId="3" borderId="5" xfId="1" applyFont="1" applyFill="1" applyBorder="1" applyAlignment="1">
      <alignment horizontal="center" vertical="center" wrapText="1"/>
    </xf>
    <xf numFmtId="0" fontId="2" fillId="0" borderId="0" xfId="0" applyFont="1" applyFill="1" applyBorder="1" applyAlignment="1">
      <alignment horizontal="left" vertical="top"/>
    </xf>
    <xf numFmtId="0" fontId="2" fillId="0" borderId="0" xfId="0" applyFont="1"/>
    <xf numFmtId="0" fontId="2" fillId="0" borderId="9" xfId="0" applyFont="1" applyBorder="1"/>
    <xf numFmtId="0" fontId="0" fillId="0" borderId="9" xfId="0" applyBorder="1"/>
    <xf numFmtId="164" fontId="0" fillId="0" borderId="9" xfId="1" applyNumberFormat="1" applyFont="1" applyBorder="1"/>
    <xf numFmtId="44" fontId="0" fillId="0" borderId="9" xfId="1" applyFont="1" applyBorder="1"/>
    <xf numFmtId="0" fontId="2" fillId="0" borderId="9" xfId="0" applyFont="1" applyBorder="1" applyAlignment="1">
      <alignment horizontal="left" vertical="center"/>
    </xf>
    <xf numFmtId="0" fontId="0" fillId="0" borderId="9" xfId="0" applyBorder="1" applyAlignment="1">
      <alignment horizontal="left" vertical="top" wrapText="1"/>
    </xf>
    <xf numFmtId="6" fontId="0" fillId="0" borderId="9" xfId="0" applyNumberFormat="1" applyBorder="1"/>
    <xf numFmtId="10" fontId="0" fillId="3" borderId="9" xfId="2" applyNumberFormat="1" applyFont="1" applyFill="1" applyBorder="1"/>
    <xf numFmtId="3" fontId="0" fillId="0" borderId="9" xfId="0" applyNumberFormat="1" applyBorder="1"/>
    <xf numFmtId="0" fontId="2" fillId="0" borderId="9" xfId="0" applyFont="1" applyBorder="1" applyAlignment="1">
      <alignment horizontal="left" vertical="top"/>
    </xf>
    <xf numFmtId="0" fontId="2" fillId="0" borderId="9" xfId="0" applyFont="1" applyBorder="1" applyAlignment="1">
      <alignment vertical="top"/>
    </xf>
    <xf numFmtId="0" fontId="2" fillId="0" borderId="9" xfId="0" applyFont="1" applyBorder="1" applyAlignment="1">
      <alignment wrapText="1"/>
    </xf>
    <xf numFmtId="0" fontId="0" fillId="0" borderId="9" xfId="0" applyBorder="1" applyAlignment="1">
      <alignment wrapText="1"/>
    </xf>
    <xf numFmtId="0" fontId="3" fillId="0" borderId="0" xfId="3"/>
    <xf numFmtId="9" fontId="0" fillId="0" borderId="0" xfId="0" applyNumberFormat="1"/>
    <xf numFmtId="0" fontId="4" fillId="0" borderId="0" xfId="0" applyFont="1"/>
    <xf numFmtId="0" fontId="0" fillId="0" borderId="9" xfId="0" applyBorder="1" applyAlignment="1">
      <alignment horizontal="center"/>
    </xf>
    <xf numFmtId="0" fontId="5" fillId="0" borderId="0" xfId="0" applyFont="1"/>
    <xf numFmtId="44" fontId="0" fillId="3" borderId="9" xfId="1" applyFont="1" applyFill="1" applyBorder="1"/>
    <xf numFmtId="44" fontId="0" fillId="3" borderId="2" xfId="1" applyFont="1" applyFill="1" applyBorder="1" applyAlignment="1">
      <alignment horizontal="center" vertical="center" wrapText="1"/>
    </xf>
    <xf numFmtId="164" fontId="0" fillId="3" borderId="9" xfId="1" applyNumberFormat="1" applyFont="1" applyFill="1" applyBorder="1"/>
    <xf numFmtId="0" fontId="0" fillId="4" borderId="5" xfId="0" applyFont="1" applyFill="1" applyBorder="1" applyAlignment="1">
      <alignment horizontal="center" vertical="center" wrapText="1"/>
    </xf>
    <xf numFmtId="9" fontId="0" fillId="0" borderId="0" xfId="2" applyFont="1"/>
    <xf numFmtId="44" fontId="0" fillId="0" borderId="0" xfId="1" applyFont="1"/>
    <xf numFmtId="44" fontId="0" fillId="0" borderId="10" xfId="1" applyFont="1" applyBorder="1"/>
    <xf numFmtId="3" fontId="0" fillId="3" borderId="2" xfId="0" applyNumberFormat="1" applyFont="1" applyFill="1" applyBorder="1" applyAlignment="1">
      <alignment horizontal="center" vertical="center" wrapText="1"/>
    </xf>
    <xf numFmtId="0" fontId="0" fillId="5" borderId="5" xfId="0" applyFont="1" applyFill="1" applyBorder="1" applyAlignment="1">
      <alignment horizontal="center" vertical="center" wrapText="1"/>
    </xf>
    <xf numFmtId="8" fontId="0" fillId="0" borderId="0" xfId="0" applyNumberFormat="1"/>
    <xf numFmtId="10" fontId="0" fillId="0" borderId="9" xfId="2" applyNumberFormat="1" applyFont="1" applyBorder="1"/>
    <xf numFmtId="166" fontId="0" fillId="0" borderId="9" xfId="1" applyNumberFormat="1" applyFont="1" applyBorder="1"/>
    <xf numFmtId="166" fontId="0" fillId="0" borderId="9" xfId="0" applyNumberFormat="1" applyBorder="1"/>
    <xf numFmtId="0" fontId="0" fillId="0" borderId="0" xfId="0" applyAlignment="1">
      <alignment horizontal="center"/>
    </xf>
    <xf numFmtId="44" fontId="1" fillId="0" borderId="12" xfId="1" applyFont="1" applyBorder="1"/>
    <xf numFmtId="44" fontId="0" fillId="0" borderId="11" xfId="1" applyFont="1" applyBorder="1"/>
    <xf numFmtId="0" fontId="0" fillId="0" borderId="0" xfId="0" applyBorder="1"/>
    <xf numFmtId="164" fontId="6" fillId="0" borderId="9" xfId="1" applyNumberFormat="1" applyFont="1" applyBorder="1" applyAlignment="1">
      <alignment horizontal="right" vertical="top"/>
    </xf>
    <xf numFmtId="0" fontId="0" fillId="0" borderId="13" xfId="0" applyBorder="1"/>
    <xf numFmtId="0" fontId="2" fillId="0" borderId="13" xfId="0" applyFont="1" applyBorder="1" applyAlignment="1">
      <alignment horizontal="left" vertical="top" wrapText="1"/>
    </xf>
    <xf numFmtId="37" fontId="6" fillId="0" borderId="0" xfId="0" applyNumberFormat="1" applyFont="1" applyAlignment="1">
      <alignment horizontal="right" vertical="top"/>
    </xf>
    <xf numFmtId="0" fontId="6" fillId="0" borderId="0" xfId="0" applyFont="1" applyAlignment="1">
      <alignment vertical="top" wrapText="1"/>
    </xf>
    <xf numFmtId="0" fontId="2" fillId="0" borderId="13" xfId="0" applyFont="1" applyBorder="1"/>
    <xf numFmtId="0" fontId="0" fillId="0" borderId="13" xfId="0" applyBorder="1" applyAlignment="1">
      <alignment horizontal="left" wrapText="1"/>
    </xf>
    <xf numFmtId="0" fontId="6" fillId="0" borderId="9" xfId="0" applyFont="1" applyBorder="1" applyAlignment="1">
      <alignment vertical="top" wrapText="1"/>
    </xf>
    <xf numFmtId="0" fontId="0" fillId="3" borderId="9" xfId="2" applyNumberFormat="1" applyFont="1" applyFill="1" applyBorder="1"/>
    <xf numFmtId="164" fontId="0" fillId="0" borderId="0" xfId="0" applyNumberFormat="1"/>
    <xf numFmtId="166" fontId="0" fillId="0" borderId="0" xfId="0" applyNumberFormat="1"/>
    <xf numFmtId="9" fontId="0" fillId="0" borderId="9" xfId="0" applyNumberFormat="1" applyBorder="1"/>
    <xf numFmtId="10" fontId="0" fillId="3" borderId="9" xfId="2" applyNumberFormat="1" applyFont="1" applyFill="1" applyBorder="1" applyAlignment="1">
      <alignment horizontal="right"/>
    </xf>
    <xf numFmtId="10" fontId="0" fillId="0" borderId="0" xfId="0" applyNumberFormat="1"/>
    <xf numFmtId="6" fontId="0" fillId="0" borderId="0" xfId="1" applyNumberFormat="1" applyFont="1"/>
    <xf numFmtId="6" fontId="0" fillId="0" borderId="10" xfId="1" applyNumberFormat="1" applyFont="1" applyBorder="1"/>
    <xf numFmtId="6" fontId="0" fillId="0" borderId="0" xfId="0" applyNumberFormat="1" applyFont="1" applyBorder="1" applyAlignment="1">
      <alignment horizontal="right" vertical="center" wrapText="1"/>
    </xf>
    <xf numFmtId="6" fontId="2" fillId="0" borderId="0" xfId="1" applyNumberFormat="1" applyFont="1"/>
    <xf numFmtId="169" fontId="0" fillId="0" borderId="9" xfId="0" applyNumberFormat="1" applyBorder="1" applyAlignment="1">
      <alignment horizontal="right"/>
    </xf>
    <xf numFmtId="169" fontId="0" fillId="0" borderId="12" xfId="0" applyNumberFormat="1" applyBorder="1"/>
    <xf numFmtId="0" fontId="0" fillId="0" borderId="15" xfId="0" applyBorder="1"/>
    <xf numFmtId="3" fontId="0" fillId="0" borderId="15" xfId="0" applyNumberFormat="1" applyBorder="1"/>
    <xf numFmtId="6" fontId="0" fillId="0" borderId="15" xfId="0" applyNumberFormat="1" applyBorder="1"/>
    <xf numFmtId="0" fontId="7" fillId="0" borderId="0" xfId="0" applyFont="1" applyAlignment="1">
      <alignment wrapText="1"/>
    </xf>
    <xf numFmtId="0" fontId="0" fillId="0" borderId="0" xfId="0" applyAlignment="1">
      <alignment wrapText="1"/>
    </xf>
    <xf numFmtId="0" fontId="0" fillId="7" borderId="9" xfId="0" applyFill="1" applyBorder="1"/>
    <xf numFmtId="164" fontId="6" fillId="7" borderId="9" xfId="1" applyNumberFormat="1" applyFont="1" applyFill="1" applyBorder="1" applyAlignment="1">
      <alignment horizontal="left"/>
    </xf>
    <xf numFmtId="0" fontId="0" fillId="7" borderId="9" xfId="0" applyFill="1" applyBorder="1" applyAlignment="1">
      <alignment wrapText="1"/>
    </xf>
    <xf numFmtId="164" fontId="6" fillId="7" borderId="9" xfId="1" applyNumberFormat="1" applyFont="1" applyFill="1" applyBorder="1" applyAlignment="1">
      <alignment horizontal="right" vertical="top"/>
    </xf>
    <xf numFmtId="0" fontId="0" fillId="8" borderId="0" xfId="0" applyFill="1"/>
    <xf numFmtId="164" fontId="0" fillId="8" borderId="0" xfId="0" applyNumberFormat="1" applyFill="1"/>
    <xf numFmtId="164" fontId="0" fillId="6" borderId="0" xfId="0" applyNumberFormat="1" applyFill="1"/>
    <xf numFmtId="10" fontId="0" fillId="7" borderId="9" xfId="2" applyNumberFormat="1" applyFont="1" applyFill="1" applyBorder="1"/>
    <xf numFmtId="3" fontId="0" fillId="7" borderId="9" xfId="0" applyNumberFormat="1" applyFill="1" applyBorder="1"/>
    <xf numFmtId="10" fontId="0" fillId="8" borderId="0" xfId="0" applyNumberFormat="1" applyFill="1"/>
    <xf numFmtId="164" fontId="0" fillId="7" borderId="9" xfId="1" applyNumberFormat="1" applyFont="1" applyFill="1" applyBorder="1"/>
    <xf numFmtId="0" fontId="2" fillId="7" borderId="9" xfId="0" applyFont="1" applyFill="1" applyBorder="1"/>
    <xf numFmtId="0" fontId="8" fillId="0" borderId="0" xfId="0" applyFont="1"/>
    <xf numFmtId="0" fontId="0" fillId="0" borderId="9" xfId="0" applyFill="1" applyBorder="1" applyAlignment="1">
      <alignment horizontal="left" vertical="top" wrapText="1"/>
    </xf>
    <xf numFmtId="166" fontId="0" fillId="0" borderId="9" xfId="0" applyNumberFormat="1" applyFill="1" applyBorder="1"/>
    <xf numFmtId="10" fontId="0" fillId="0" borderId="9" xfId="2" applyNumberFormat="1" applyFont="1" applyFill="1" applyBorder="1"/>
    <xf numFmtId="164" fontId="0" fillId="0" borderId="9" xfId="1" applyNumberFormat="1" applyFont="1" applyFill="1" applyBorder="1"/>
    <xf numFmtId="0" fontId="0" fillId="0" borderId="9" xfId="0" applyFill="1" applyBorder="1" applyAlignment="1">
      <alignment wrapText="1"/>
    </xf>
    <xf numFmtId="164" fontId="6" fillId="0" borderId="9" xfId="1" applyNumberFormat="1" applyFont="1" applyFill="1" applyBorder="1" applyAlignment="1">
      <alignment horizontal="right" vertical="top"/>
    </xf>
    <xf numFmtId="3" fontId="0" fillId="0" borderId="9" xfId="0" applyNumberFormat="1" applyFill="1" applyBorder="1"/>
    <xf numFmtId="164" fontId="0" fillId="0" borderId="0" xfId="0" applyNumberFormat="1" applyFill="1"/>
    <xf numFmtId="0" fontId="0" fillId="0" borderId="0" xfId="0" applyFill="1"/>
    <xf numFmtId="0" fontId="0" fillId="0" borderId="16" xfId="0" applyFill="1" applyBorder="1"/>
    <xf numFmtId="3" fontId="0" fillId="0" borderId="0" xfId="0" applyNumberFormat="1"/>
    <xf numFmtId="0" fontId="8" fillId="7" borderId="0" xfId="0" applyFont="1" applyFill="1"/>
    <xf numFmtId="0" fontId="9" fillId="7" borderId="0" xfId="0" applyFont="1" applyFill="1"/>
    <xf numFmtId="0" fontId="0" fillId="7" borderId="0" xfId="0" applyFill="1"/>
    <xf numFmtId="0" fontId="2" fillId="7" borderId="9" xfId="0" applyFont="1" applyFill="1" applyBorder="1" applyAlignment="1">
      <alignment vertical="center" wrapText="1"/>
    </xf>
    <xf numFmtId="0" fontId="2" fillId="7" borderId="9" xfId="0" applyFont="1" applyFill="1" applyBorder="1" applyAlignment="1">
      <alignment wrapText="1"/>
    </xf>
    <xf numFmtId="166" fontId="0" fillId="7" borderId="9" xfId="0" applyNumberFormat="1" applyFill="1" applyBorder="1"/>
    <xf numFmtId="167" fontId="0" fillId="7" borderId="9" xfId="0" applyNumberFormat="1" applyFill="1" applyBorder="1"/>
    <xf numFmtId="44" fontId="0" fillId="7" borderId="9" xfId="1" applyFont="1" applyFill="1" applyBorder="1"/>
    <xf numFmtId="168" fontId="6" fillId="7" borderId="9" xfId="1" applyNumberFormat="1" applyFont="1" applyFill="1" applyBorder="1" applyAlignment="1">
      <alignment horizontal="right" vertical="top"/>
    </xf>
    <xf numFmtId="0" fontId="2" fillId="7" borderId="0" xfId="0" applyFont="1" applyFill="1"/>
    <xf numFmtId="0" fontId="0" fillId="9" borderId="0" xfId="0" applyFill="1"/>
    <xf numFmtId="0" fontId="0" fillId="9" borderId="9" xfId="0" applyFill="1" applyBorder="1"/>
    <xf numFmtId="10" fontId="0" fillId="9" borderId="9" xfId="2" applyNumberFormat="1" applyFont="1" applyFill="1" applyBorder="1"/>
    <xf numFmtId="164" fontId="0" fillId="9" borderId="9" xfId="1" applyNumberFormat="1" applyFont="1" applyFill="1" applyBorder="1"/>
    <xf numFmtId="0" fontId="2" fillId="9" borderId="0" xfId="0" applyFont="1" applyFill="1"/>
    <xf numFmtId="165" fontId="0" fillId="9" borderId="9" xfId="2" applyNumberFormat="1" applyFont="1" applyFill="1" applyBorder="1"/>
    <xf numFmtId="10" fontId="0" fillId="9" borderId="14" xfId="2" applyNumberFormat="1" applyFont="1" applyFill="1" applyBorder="1"/>
    <xf numFmtId="164" fontId="0" fillId="7" borderId="14" xfId="1" applyNumberFormat="1" applyFont="1" applyFill="1" applyBorder="1"/>
    <xf numFmtId="37" fontId="6" fillId="7" borderId="9" xfId="0" applyNumberFormat="1" applyFont="1" applyFill="1" applyBorder="1" applyAlignment="1">
      <alignment horizontal="right" vertical="top"/>
    </xf>
    <xf numFmtId="0" fontId="2" fillId="7" borderId="9" xfId="0" applyFont="1" applyFill="1" applyBorder="1" applyAlignment="1">
      <alignment horizontal="left" vertical="top"/>
    </xf>
    <xf numFmtId="0" fontId="2" fillId="7" borderId="9" xfId="0" applyFont="1" applyFill="1" applyBorder="1" applyAlignment="1">
      <alignment vertical="top"/>
    </xf>
    <xf numFmtId="0" fontId="0" fillId="7" borderId="14" xfId="0" applyFill="1" applyBorder="1"/>
    <xf numFmtId="0" fontId="6" fillId="7" borderId="9" xfId="0" applyFont="1" applyFill="1" applyBorder="1" applyAlignment="1">
      <alignment vertical="top" wrapText="1"/>
    </xf>
    <xf numFmtId="164" fontId="0" fillId="7" borderId="9" xfId="1" applyNumberFormat="1" applyFont="1" applyFill="1" applyBorder="1" applyAlignment="1">
      <alignment horizontal="left"/>
    </xf>
    <xf numFmtId="164" fontId="0" fillId="7" borderId="0" xfId="0" applyNumberFormat="1" applyFill="1"/>
    <xf numFmtId="168" fontId="0" fillId="7" borderId="9" xfId="1" applyNumberFormat="1" applyFont="1" applyFill="1" applyBorder="1"/>
    <xf numFmtId="10" fontId="0" fillId="7" borderId="0" xfId="0" applyNumberFormat="1" applyFill="1"/>
    <xf numFmtId="6" fontId="0" fillId="0" borderId="0" xfId="0" applyNumberFormat="1"/>
    <xf numFmtId="0" fontId="0" fillId="0" borderId="17" xfId="0" applyBorder="1"/>
    <xf numFmtId="44" fontId="0" fillId="0" borderId="17" xfId="1" applyFont="1" applyBorder="1"/>
    <xf numFmtId="0" fontId="0" fillId="0" borderId="9" xfId="0" applyFill="1" applyBorder="1"/>
    <xf numFmtId="170" fontId="0" fillId="0" borderId="9" xfId="0" applyNumberFormat="1" applyBorder="1"/>
    <xf numFmtId="0" fontId="0" fillId="0" borderId="0" xfId="0" applyNumberFormat="1"/>
    <xf numFmtId="0" fontId="0" fillId="7" borderId="0" xfId="0" applyFill="1" applyAlignment="1">
      <alignment wrapText="1"/>
    </xf>
    <xf numFmtId="0" fontId="2" fillId="7" borderId="9" xfId="0" applyFont="1" applyFill="1" applyBorder="1" applyAlignment="1">
      <alignment horizontal="center"/>
    </xf>
    <xf numFmtId="0" fontId="2" fillId="0" borderId="9" xfId="0" applyFont="1" applyBorder="1" applyAlignment="1">
      <alignment horizontal="left" vertical="top" wrapText="1"/>
    </xf>
    <xf numFmtId="0" fontId="2" fillId="0" borderId="9" xfId="0" applyFont="1" applyBorder="1" applyAlignment="1">
      <alignment horizontal="center"/>
    </xf>
    <xf numFmtId="0" fontId="0" fillId="0" borderId="4" xfId="0" applyFont="1" applyBorder="1" applyAlignment="1">
      <alignment horizontal="center" vertical="center" wrapText="1"/>
    </xf>
    <xf numFmtId="0" fontId="0" fillId="3" borderId="7"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2" fillId="7" borderId="9" xfId="0" applyFont="1" applyFill="1" applyBorder="1" applyAlignment="1">
      <alignment horizontal="center"/>
    </xf>
    <xf numFmtId="0" fontId="2" fillId="0" borderId="9" xfId="0" applyFont="1" applyBorder="1" applyAlignment="1">
      <alignment horizontal="left" vertical="top" wrapText="1"/>
    </xf>
    <xf numFmtId="0" fontId="2" fillId="0" borderId="9" xfId="0" applyFont="1" applyBorder="1" applyAlignment="1">
      <alignment horizontal="center"/>
    </xf>
    <xf numFmtId="0" fontId="0" fillId="0" borderId="7" xfId="0" applyFont="1" applyBorder="1" applyAlignment="1">
      <alignment horizontal="center" vertical="center" wrapText="1"/>
    </xf>
    <xf numFmtId="0" fontId="0" fillId="0" borderId="4" xfId="0" applyFont="1" applyBorder="1" applyAlignment="1">
      <alignment horizontal="center" vertical="center" wrapText="1"/>
    </xf>
    <xf numFmtId="6" fontId="0" fillId="0" borderId="7" xfId="0" applyNumberFormat="1" applyFont="1" applyBorder="1" applyAlignment="1">
      <alignment horizontal="center" vertical="center" wrapText="1"/>
    </xf>
    <xf numFmtId="6" fontId="0" fillId="0" borderId="4" xfId="0" applyNumberFormat="1" applyFont="1" applyBorder="1" applyAlignment="1">
      <alignment horizontal="center" vertical="center" wrapText="1"/>
    </xf>
    <xf numFmtId="0" fontId="0" fillId="0" borderId="8" xfId="0" applyBorder="1" applyAlignment="1">
      <alignment wrapText="1"/>
    </xf>
    <xf numFmtId="0" fontId="0" fillId="3" borderId="7" xfId="0" applyFont="1" applyFill="1" applyBorder="1" applyAlignment="1">
      <alignment horizontal="center" vertical="center" wrapText="1"/>
    </xf>
    <xf numFmtId="0" fontId="0" fillId="3" borderId="4" xfId="0" applyFont="1" applyFill="1" applyBorder="1" applyAlignment="1">
      <alignment horizontal="center" vertical="center" wrapText="1"/>
    </xf>
    <xf numFmtId="3" fontId="0" fillId="3" borderId="7" xfId="0" applyNumberFormat="1" applyFont="1" applyFill="1" applyBorder="1" applyAlignment="1">
      <alignment horizontal="center" vertical="center" wrapText="1"/>
    </xf>
    <xf numFmtId="3" fontId="0" fillId="3" borderId="4"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0" fillId="2" borderId="1" xfId="0" applyFill="1" applyBorder="1" applyAlignment="1">
      <alignment horizontal="center" vertical="center"/>
    </xf>
    <xf numFmtId="0" fontId="0" fillId="0" borderId="0" xfId="0" applyFont="1" applyBorder="1" applyAlignment="1">
      <alignment horizontal="left" vertical="center" wrapText="1"/>
    </xf>
    <xf numFmtId="0" fontId="0" fillId="0" borderId="0" xfId="0" applyBorder="1" applyAlignment="1"/>
    <xf numFmtId="0" fontId="0" fillId="0" borderId="0" xfId="0" applyAlignment="1"/>
    <xf numFmtId="0" fontId="0" fillId="0" borderId="4" xfId="0" applyBorder="1" applyAlignment="1">
      <alignment horizontal="center" vertical="center" wrapText="1"/>
    </xf>
    <xf numFmtId="3" fontId="0" fillId="3" borderId="7" xfId="0" applyNumberFormat="1" applyFont="1" applyFill="1" applyBorder="1" applyAlignment="1">
      <alignment horizontal="center" vertical="center"/>
    </xf>
    <xf numFmtId="3" fontId="0" fillId="3" borderId="4" xfId="0" applyNumberFormat="1" applyFont="1" applyFill="1" applyBorder="1" applyAlignment="1">
      <alignment horizontal="center" vertical="center"/>
    </xf>
    <xf numFmtId="44" fontId="0" fillId="3" borderId="7" xfId="1" applyFont="1" applyFill="1" applyBorder="1" applyAlignment="1">
      <alignment horizontal="center" vertical="center"/>
    </xf>
    <xf numFmtId="44" fontId="0" fillId="3" borderId="4" xfId="1" applyFont="1" applyFill="1" applyBorder="1" applyAlignment="1">
      <alignment horizontal="center" vertical="center"/>
    </xf>
    <xf numFmtId="0" fontId="0" fillId="3" borderId="6" xfId="0" applyFont="1" applyFill="1" applyBorder="1" applyAlignment="1">
      <alignment horizontal="center" vertical="center" wrapText="1"/>
    </xf>
    <xf numFmtId="3" fontId="0" fillId="3" borderId="6" xfId="0" applyNumberFormat="1" applyFont="1" applyFill="1" applyBorder="1" applyAlignment="1">
      <alignment horizontal="center" vertical="center" wrapText="1"/>
    </xf>
    <xf numFmtId="0" fontId="2" fillId="3" borderId="7" xfId="0" applyFont="1" applyFill="1" applyBorder="1" applyAlignment="1">
      <alignment horizontal="center" vertical="center" wrapText="1"/>
    </xf>
    <xf numFmtId="6" fontId="0" fillId="3" borderId="7" xfId="0" applyNumberFormat="1" applyFont="1" applyFill="1" applyBorder="1" applyAlignment="1">
      <alignment horizontal="center" vertical="center" wrapText="1"/>
    </xf>
    <xf numFmtId="6" fontId="0" fillId="3" borderId="4" xfId="0" applyNumberFormat="1" applyFont="1" applyFill="1" applyBorder="1" applyAlignment="1">
      <alignment horizontal="center" vertical="center" wrapText="1"/>
    </xf>
    <xf numFmtId="44" fontId="0" fillId="3" borderId="7" xfId="1" applyFont="1" applyFill="1" applyBorder="1" applyAlignment="1">
      <alignment horizontal="center" vertical="center" wrapText="1"/>
    </xf>
    <xf numFmtId="44" fontId="0" fillId="3" borderId="6" xfId="1" applyFont="1" applyFill="1" applyBorder="1" applyAlignment="1">
      <alignment horizontal="center" vertical="center" wrapText="1"/>
    </xf>
    <xf numFmtId="44" fontId="0" fillId="3" borderId="4" xfId="1" applyFont="1" applyFill="1" applyBorder="1" applyAlignment="1">
      <alignment horizontal="center" vertical="center" wrapText="1"/>
    </xf>
    <xf numFmtId="6" fontId="0" fillId="3" borderId="6" xfId="0" applyNumberFormat="1" applyFont="1" applyFill="1" applyBorder="1" applyAlignment="1">
      <alignment horizontal="center" vertical="center" wrapText="1"/>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19050</xdr:rowOff>
    </xdr:from>
    <xdr:to>
      <xdr:col>14</xdr:col>
      <xdr:colOff>0</xdr:colOff>
      <xdr:row>21</xdr:row>
      <xdr:rowOff>3810</xdr:rowOff>
    </xdr:to>
    <xdr:sp macro="" textlink="">
      <xdr:nvSpPr>
        <xdr:cNvPr id="4" name="TextBox 3" descr="Choice Hotels 10-K&#10;In Project 3, you will learn how to access US Securities and Exchange Commission public information about companies. You will also learn how to calculate and anlyze ratios, analyze and make decisions based on cost, and develop a sales forecast and budget. &#10;Start by looking up the 10-K for Choice Hotels (CHH) for year 2018 on the SEC website.  Follow these steps:&#10; 1. Go to www.SEC.gov.&#10; 2. At the top on the right, click Company Filings.&#10; 3. In the fast search box, enter the Ticker Symbol for Choice Hotels, CHH. &#10; 4. Click Search&#10; 5. EDGAR search results will appear.  Notice the name and address for Choice Hotels. Also notice the box that reads Filter Results: Filing Type. Enter &quot;10-K&quot; and click Search.&#10; 6. You should see a 10-K with a filing date of 2019-02-26. This is the latest available at the time this project was developed.&#10;                             7. Repeat 1 through 6 for Marriott International (MAR) for year 2018 on the SEC website. You should see a 10-K with a filing date of 2019-03-01. This is the latest available at the time this project was developed.&#10; 8. There are two available formats of this 10-K data, and we will use the Documents to answer the questions. You will use the data provided in the worksheets to complete the Ratio Analysis and to answer related questions.&#10; 9. Complete the financial statements by filling in the Excel formulas for each grey box.&#10; 10. Answer all questions on each tab in this workbook.&#10;&#10;Note: Quarterly Financial Statements are not audited. Only annual financial statements are audited by a public accounting firm.&#10;">
          <a:extLst>
            <a:ext uri="{FF2B5EF4-FFF2-40B4-BE49-F238E27FC236}">
              <a16:creationId xmlns:a16="http://schemas.microsoft.com/office/drawing/2014/main" id="{00000000-0008-0000-0000-000004000000}"/>
            </a:ext>
          </a:extLst>
        </xdr:cNvPr>
        <xdr:cNvSpPr txBox="1"/>
      </xdr:nvSpPr>
      <xdr:spPr>
        <a:xfrm>
          <a:off x="590550" y="209550"/>
          <a:ext cx="7677150" cy="3794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Choice Hotels 10-K</a:t>
          </a:r>
        </a:p>
        <a:p>
          <a:r>
            <a:rPr lang="en-US" sz="1100">
              <a:solidFill>
                <a:schemeClr val="dk1"/>
              </a:solidFill>
              <a:effectLst/>
              <a:latin typeface="+mn-lt"/>
              <a:ea typeface="+mn-ea"/>
              <a:cs typeface="+mn-cs"/>
            </a:rPr>
            <a:t>In Project 3, you will learn how to access US Securities and Exchange Commission public information about companies. You will also learn how to calculate and analyze ratios, analyze</a:t>
          </a:r>
          <a:r>
            <a:rPr lang="en-US" sz="1100" baseline="0">
              <a:solidFill>
                <a:schemeClr val="dk1"/>
              </a:solidFill>
              <a:effectLst/>
              <a:latin typeface="+mn-lt"/>
              <a:ea typeface="+mn-ea"/>
              <a:cs typeface="+mn-cs"/>
            </a:rPr>
            <a:t> and make decisions based on cost, and develop a sales forecast and budget.</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Start by looking up the 10-K for Choice Hotels (CHH) for year 2019 on the SEC website.  Follow these steps:</a:t>
          </a:r>
        </a:p>
        <a:p>
          <a:r>
            <a:rPr lang="en-US" sz="1100">
              <a:solidFill>
                <a:schemeClr val="dk1"/>
              </a:solidFill>
              <a:effectLst/>
              <a:latin typeface="+mn-lt"/>
              <a:ea typeface="+mn-ea"/>
              <a:cs typeface="+mn-cs"/>
            </a:rPr>
            <a:t>	1. Go to www.SEC.gov.</a:t>
          </a:r>
        </a:p>
        <a:p>
          <a:r>
            <a:rPr lang="en-US" sz="1100" b="1">
              <a:solidFill>
                <a:schemeClr val="dk1"/>
              </a:solidFill>
              <a:effectLst/>
              <a:latin typeface="+mn-lt"/>
              <a:ea typeface="+mn-ea"/>
              <a:cs typeface="+mn-cs"/>
            </a:rPr>
            <a:t>	</a:t>
          </a:r>
          <a:r>
            <a:rPr lang="en-US" sz="1100" b="0">
              <a:solidFill>
                <a:schemeClr val="dk1"/>
              </a:solidFill>
              <a:effectLst/>
              <a:latin typeface="+mn-lt"/>
              <a:ea typeface="+mn-ea"/>
              <a:cs typeface="+mn-cs"/>
            </a:rPr>
            <a:t>2.</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At the top on the right, click </a:t>
          </a:r>
          <a:r>
            <a:rPr lang="en-US" sz="1100" b="1">
              <a:solidFill>
                <a:schemeClr val="dk1"/>
              </a:solidFill>
              <a:effectLst/>
              <a:latin typeface="+mn-lt"/>
              <a:ea typeface="+mn-ea"/>
              <a:cs typeface="+mn-cs"/>
            </a:rPr>
            <a:t>Company Filings</a:t>
          </a:r>
          <a:r>
            <a:rPr lang="en-US" sz="1100" b="0">
              <a:solidFill>
                <a:schemeClr val="dk1"/>
              </a:solidFill>
              <a:effectLst/>
              <a:latin typeface="+mn-lt"/>
              <a:ea typeface="+mn-ea"/>
              <a:cs typeface="+mn-cs"/>
            </a:rPr>
            <a:t>.</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r>
            <a:rPr lang="en-US" sz="1100" b="0">
              <a:solidFill>
                <a:schemeClr val="dk1"/>
              </a:solidFill>
              <a:effectLst/>
              <a:latin typeface="+mn-lt"/>
              <a:ea typeface="+mn-ea"/>
              <a:cs typeface="+mn-cs"/>
            </a:rPr>
            <a:t>3.</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In the fast search box, enter the Ticker Symbol for Choice Hotels, </a:t>
          </a:r>
          <a:r>
            <a:rPr lang="en-US" sz="1100" b="0">
              <a:solidFill>
                <a:schemeClr val="dk1"/>
              </a:solidFill>
              <a:effectLst/>
              <a:latin typeface="+mn-lt"/>
              <a:ea typeface="+mn-ea"/>
              <a:cs typeface="+mn-cs"/>
            </a:rPr>
            <a:t>CHH.</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4. Click </a:t>
          </a:r>
          <a:r>
            <a:rPr lang="en-US" sz="1100" b="1">
              <a:solidFill>
                <a:schemeClr val="dk1"/>
              </a:solidFill>
              <a:effectLst/>
              <a:latin typeface="+mn-lt"/>
              <a:ea typeface="+mn-ea"/>
              <a:cs typeface="+mn-cs"/>
            </a:rPr>
            <a:t>Search</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5. EDGAR search</a:t>
          </a:r>
          <a:r>
            <a:rPr lang="en-US" sz="1100" baseline="0">
              <a:solidFill>
                <a:schemeClr val="dk1"/>
              </a:solidFill>
              <a:effectLst/>
              <a:latin typeface="+mn-lt"/>
              <a:ea typeface="+mn-ea"/>
              <a:cs typeface="+mn-cs"/>
            </a:rPr>
            <a:t> results</a:t>
          </a:r>
          <a:r>
            <a:rPr lang="en-US" sz="1100">
              <a:solidFill>
                <a:schemeClr val="dk1"/>
              </a:solidFill>
              <a:effectLst/>
              <a:latin typeface="+mn-lt"/>
              <a:ea typeface="+mn-ea"/>
              <a:cs typeface="+mn-cs"/>
            </a:rPr>
            <a:t> will appear.  Notice the name and address for Choice Hotels. Also notice the box that reads Filter Results: Filing Type. Enter "</a:t>
          </a:r>
          <a:r>
            <a:rPr lang="en-US" sz="1100" b="0">
              <a:solidFill>
                <a:schemeClr val="dk1"/>
              </a:solidFill>
              <a:effectLst/>
              <a:latin typeface="+mn-lt"/>
              <a:ea typeface="+mn-ea"/>
              <a:cs typeface="+mn-cs"/>
            </a:rPr>
            <a:t>10-K"</a:t>
          </a:r>
          <a:r>
            <a:rPr lang="en-US" sz="1100" b="1">
              <a:solidFill>
                <a:schemeClr val="dk1"/>
              </a:solidFill>
              <a:effectLst/>
              <a:latin typeface="+mn-lt"/>
              <a:ea typeface="+mn-ea"/>
              <a:cs typeface="+mn-cs"/>
            </a:rPr>
            <a:t> </a:t>
          </a:r>
          <a:r>
            <a:rPr lang="en-US" sz="1100" b="0">
              <a:solidFill>
                <a:schemeClr val="dk1"/>
              </a:solidFill>
              <a:effectLst/>
              <a:latin typeface="+mn-lt"/>
              <a:ea typeface="+mn-ea"/>
              <a:cs typeface="+mn-cs"/>
            </a:rPr>
            <a:t>and c</a:t>
          </a:r>
          <a:r>
            <a:rPr lang="en-US" sz="1100">
              <a:solidFill>
                <a:schemeClr val="dk1"/>
              </a:solidFill>
              <a:effectLst/>
              <a:latin typeface="+mn-lt"/>
              <a:ea typeface="+mn-ea"/>
              <a:cs typeface="+mn-cs"/>
            </a:rPr>
            <a:t>lick</a:t>
          </a:r>
          <a:r>
            <a:rPr lang="en-US" sz="1100" b="1">
              <a:solidFill>
                <a:schemeClr val="dk1"/>
              </a:solidFill>
              <a:effectLst/>
              <a:latin typeface="+mn-lt"/>
              <a:ea typeface="+mn-ea"/>
              <a:cs typeface="+mn-cs"/>
            </a:rPr>
            <a:t> Search</a:t>
          </a:r>
          <a:r>
            <a:rPr lang="en-US" sz="1100" b="0">
              <a:solidFill>
                <a:schemeClr val="dk1"/>
              </a:solidFill>
              <a:effectLst/>
              <a:latin typeface="+mn-lt"/>
              <a:ea typeface="+mn-ea"/>
              <a:cs typeface="+mn-cs"/>
            </a:rPr>
            <a:t>.</a:t>
          </a:r>
        </a:p>
        <a:p>
          <a:r>
            <a:rPr lang="en-US" sz="1100" b="1">
              <a:solidFill>
                <a:schemeClr val="dk1"/>
              </a:solidFill>
              <a:effectLst/>
              <a:latin typeface="+mn-lt"/>
              <a:ea typeface="+mn-ea"/>
              <a:cs typeface="+mn-cs"/>
            </a:rPr>
            <a:t>	</a:t>
          </a:r>
          <a:r>
            <a:rPr lang="en-US" sz="1100" b="0">
              <a:solidFill>
                <a:schemeClr val="dk1"/>
              </a:solidFill>
              <a:effectLst/>
              <a:latin typeface="+mn-lt"/>
              <a:ea typeface="+mn-ea"/>
              <a:cs typeface="+mn-cs"/>
            </a:rPr>
            <a:t>6.</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You should see a 10-K with a filing date of 2020-03-02. This is the latest available at the time this project was developed.</a:t>
          </a:r>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                             7.</a:t>
          </a:r>
          <a:r>
            <a:rPr lang="en-US" sz="1100" b="0" i="0" u="none" strike="noStrike" baseline="0">
              <a:solidFill>
                <a:schemeClr val="dk1"/>
              </a:solidFill>
              <a:effectLst/>
              <a:latin typeface="+mn-lt"/>
              <a:ea typeface="+mn-ea"/>
              <a:cs typeface="+mn-cs"/>
            </a:rPr>
            <a:t> Repeat 1 through 6 for Marriott International (MAR) </a:t>
          </a:r>
          <a:r>
            <a:rPr lang="en-US" sz="1100">
              <a:solidFill>
                <a:schemeClr val="dk1"/>
              </a:solidFill>
              <a:effectLst/>
              <a:latin typeface="+mn-lt"/>
              <a:ea typeface="+mn-ea"/>
              <a:cs typeface="+mn-cs"/>
            </a:rPr>
            <a:t>for year 2019 on the SEC website. You should see a 10-K with a filing date of 2020-02-27. This is the latest available at the time this project was developed.</a:t>
          </a:r>
        </a:p>
        <a:p>
          <a:r>
            <a:rPr lang="en-US" sz="1100">
              <a:solidFill>
                <a:schemeClr val="dk1"/>
              </a:solidFill>
              <a:effectLst/>
              <a:latin typeface="+mn-lt"/>
              <a:ea typeface="+mn-ea"/>
              <a:cs typeface="+mn-cs"/>
            </a:rPr>
            <a:t>	8. There are two available formats of this 10-K data, and we will use the </a:t>
          </a:r>
          <a:r>
            <a:rPr lang="en-US" sz="1100" b="1">
              <a:solidFill>
                <a:schemeClr val="dk1"/>
              </a:solidFill>
              <a:effectLst/>
              <a:latin typeface="+mn-lt"/>
              <a:ea typeface="+mn-ea"/>
              <a:cs typeface="+mn-cs"/>
            </a:rPr>
            <a:t>Documents </a:t>
          </a:r>
          <a:r>
            <a:rPr lang="en-US" sz="1100">
              <a:solidFill>
                <a:schemeClr val="dk1"/>
              </a:solidFill>
              <a:effectLst/>
              <a:latin typeface="+mn-lt"/>
              <a:ea typeface="+mn-ea"/>
              <a:cs typeface="+mn-cs"/>
            </a:rPr>
            <a:t>to answer the questions. You will use the data provided in the worksheets to complete</a:t>
          </a:r>
          <a:r>
            <a:rPr lang="en-US" sz="1100" baseline="0">
              <a:solidFill>
                <a:schemeClr val="dk1"/>
              </a:solidFill>
              <a:effectLst/>
              <a:latin typeface="+mn-lt"/>
              <a:ea typeface="+mn-ea"/>
              <a:cs typeface="+mn-cs"/>
            </a:rPr>
            <a:t> the Ratio Analysis and to answer related questions.</a:t>
          </a:r>
        </a:p>
        <a:p>
          <a:r>
            <a:rPr lang="en-US" sz="1100" baseline="0">
              <a:solidFill>
                <a:schemeClr val="dk1"/>
              </a:solidFill>
              <a:effectLst/>
              <a:latin typeface="+mn-lt"/>
              <a:ea typeface="+mn-ea"/>
              <a:cs typeface="+mn-cs"/>
            </a:rPr>
            <a:t>	9. Complete the financial statements by filling in the Excel formulas for each grey box.</a:t>
          </a:r>
        </a:p>
        <a:p>
          <a:r>
            <a:rPr lang="en-US" sz="1100" baseline="0">
              <a:solidFill>
                <a:schemeClr val="dk1"/>
              </a:solidFill>
              <a:effectLst/>
              <a:latin typeface="+mn-lt"/>
              <a:ea typeface="+mn-ea"/>
              <a:cs typeface="+mn-cs"/>
            </a:rPr>
            <a:t>	10. Answer all questions on each tab in this workbook.</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Note:</a:t>
          </a:r>
          <a:r>
            <a:rPr lang="en-US" sz="1100">
              <a:solidFill>
                <a:schemeClr val="dk1"/>
              </a:solidFill>
              <a:effectLst/>
              <a:latin typeface="+mn-lt"/>
              <a:ea typeface="+mn-ea"/>
              <a:cs typeface="+mn-cs"/>
            </a:rPr>
            <a:t> Quarterly Financial Statements are not audited. Only annual financial statements are audited by a public accounting firm.</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152400</xdr:colOff>
      <xdr:row>49</xdr:row>
      <xdr:rowOff>50800</xdr:rowOff>
    </xdr:from>
    <xdr:to>
      <xdr:col>7</xdr:col>
      <xdr:colOff>1587500</xdr:colOff>
      <xdr:row>54</xdr:row>
      <xdr:rowOff>44450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768350" y="10547350"/>
          <a:ext cx="9512300" cy="154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 Property and equipment, at cost, net, and Treasury stock accounts show the most significant change in Choice Hotel in the past two years. Per the 10-k, the rehabilitation and development of a former office building into a Cambria hotel was completed, and the hotel opened in the 3rd quarter of 2019. Choice Hotel capitalized major renovations and replacements incurred during construction, which would explain the high percentage increase for the property and equipment at cost account in 2019 compared to 2018.</a:t>
          </a:r>
          <a:r>
            <a:rPr lang="en-US"/>
            <a:t> </a:t>
          </a:r>
        </a:p>
        <a:p>
          <a:r>
            <a:rPr lang="en-US" sz="1100" b="0" i="0" u="none" strike="noStrike">
              <a:solidFill>
                <a:schemeClr val="dk1"/>
              </a:solidFill>
              <a:effectLst/>
              <a:latin typeface="+mn-lt"/>
              <a:ea typeface="+mn-ea"/>
              <a:cs typeface="+mn-cs"/>
            </a:rPr>
            <a:t>     Treasury stock refers to previously outstanding stock that is repurchased from stockholders by the issuing company.  Per the 10- K, in 2019, the Choice Hotels repurchased 0.6 million shares of its common stock under the repurchase program at a total cost of $44.1 million; compared to 2018, they repurchased 1.8 million shares of its common stock totaling $141.2 million. They repurchased fewer stocks at a lower price, which would explain the significant decrease in the percentage for 2019 compared to 2018.</a:t>
          </a:r>
          <a:r>
            <a:rPr lang="en-US"/>
            <a:t> </a:t>
          </a:r>
          <a:endParaRPr lang="en-US" sz="1100"/>
        </a:p>
        <a:p>
          <a:endParaRPr lang="en-US" sz="1100"/>
        </a:p>
      </xdr:txBody>
    </xdr:sp>
    <xdr:clientData/>
  </xdr:twoCellAnchor>
  <xdr:twoCellAnchor>
    <xdr:from>
      <xdr:col>1</xdr:col>
      <xdr:colOff>66675</xdr:colOff>
      <xdr:row>55</xdr:row>
      <xdr:rowOff>133350</xdr:rowOff>
    </xdr:from>
    <xdr:to>
      <xdr:col>7</xdr:col>
      <xdr:colOff>1819275</xdr:colOff>
      <xdr:row>63</xdr:row>
      <xdr:rowOff>47625</xdr:rowOff>
    </xdr:to>
    <xdr:sp macro="" textlink="">
      <xdr:nvSpPr>
        <xdr:cNvPr id="15" name="TextBox 2">
          <a:extLst>
            <a:ext uri="{FF2B5EF4-FFF2-40B4-BE49-F238E27FC236}">
              <a16:creationId xmlns:a16="http://schemas.microsoft.com/office/drawing/2014/main" id="{00000000-0008-0000-0200-000003000000}"/>
            </a:ext>
            <a:ext uri="{147F2762-F138-4A5C-976F-8EAC2B608ADB}">
              <a16:predDERef xmlns:a16="http://schemas.microsoft.com/office/drawing/2014/main" pred="{00000000-0008-0000-0200-000002000000}"/>
            </a:ext>
          </a:extLst>
        </xdr:cNvPr>
        <xdr:cNvSpPr txBox="1"/>
      </xdr:nvSpPr>
      <xdr:spPr>
        <a:xfrm>
          <a:off x="657225" y="12192000"/>
          <a:ext cx="9467850" cy="136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 Long-Term Debt, and Treasury stock accounts , show the most significant change in Marriot Hotel in the past two years. Per the 10-k, Marriott Hotel purchased 17.3 million shares of their common stock in 2019 at an average price of $130.79 per share; compared to 2018, they bought 21.5 million at the same price per share. The average price was the same in 2018 and 2019 , but in 2018 they purchased more stocks, which accounts for the higher percentage in treasury stock account in 2018.</a:t>
          </a:r>
          <a:r>
            <a:rPr lang="en-US"/>
            <a:t>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Per the 10-k Marriot Hotel acquired more long term debt in 2019 compared to 2018. In 2019 Marriot acquired, $550 million aggregate principal amount of 2.125 percent Series DD Notes</a:t>
          </a:r>
          <a:r>
            <a:rPr lang="en-US"/>
            <a:t> </a:t>
          </a:r>
          <a:endParaRPr lang="en-US" sz="1100"/>
        </a:p>
      </xdr:txBody>
    </xdr:sp>
    <xdr:clientData/>
  </xdr:twoCellAnchor>
  <xdr:twoCellAnchor>
    <xdr:from>
      <xdr:col>1</xdr:col>
      <xdr:colOff>171450</xdr:colOff>
      <xdr:row>66</xdr:row>
      <xdr:rowOff>171450</xdr:rowOff>
    </xdr:from>
    <xdr:to>
      <xdr:col>7</xdr:col>
      <xdr:colOff>1797050</xdr:colOff>
      <xdr:row>73</xdr:row>
      <xdr:rowOff>34925</xdr:rowOff>
    </xdr:to>
    <xdr:sp macro="" textlink="">
      <xdr:nvSpPr>
        <xdr:cNvPr id="16" name="TextBox 3">
          <a:extLst>
            <a:ext uri="{FF2B5EF4-FFF2-40B4-BE49-F238E27FC236}">
              <a16:creationId xmlns:a16="http://schemas.microsoft.com/office/drawing/2014/main" id="{00000000-0008-0000-0200-000004000000}"/>
            </a:ext>
            <a:ext uri="{147F2762-F138-4A5C-976F-8EAC2B608ADB}">
              <a16:predDERef xmlns:a16="http://schemas.microsoft.com/office/drawing/2014/main" pred="{00000000-0008-0000-0200-000003000000}"/>
            </a:ext>
          </a:extLst>
        </xdr:cNvPr>
        <xdr:cNvSpPr txBox="1"/>
      </xdr:nvSpPr>
      <xdr:spPr>
        <a:xfrm>
          <a:off x="762000" y="14220825"/>
          <a:ext cx="9340850" cy="1130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Marriot Hotel has a stronger balance sheet because Marriot has more asset than liability compared to Choice Hotel that has more liability than asset. Marriot Hotel offers a shareholder equity of $1,585 in millions . The shareholder equity represents the network of a company, while Marriot network is positive Choice Hotels is negative. Also, Mariott has a debt ratio of  2.13, while Choice Hotel's ratio is 1.01. Both ratios are above the suggested level for their industry, but Mariott's higher ratio indicates that they have a better percentage of assets that are provided via debt.</a:t>
          </a:r>
          <a:r>
            <a:rPr lang="en-US"/>
            <a:t> </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1905</xdr:rowOff>
    </xdr:from>
    <xdr:to>
      <xdr:col>6</xdr:col>
      <xdr:colOff>883920</xdr:colOff>
      <xdr:row>12</xdr:row>
      <xdr:rowOff>190500</xdr:rowOff>
    </xdr:to>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0" y="201930"/>
          <a:ext cx="6598920" cy="355092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Choice Hotels has contracted with a mid-size furniture manufacturer for the production</a:t>
          </a:r>
          <a:r>
            <a:rPr lang="en-US" sz="1100" baseline="0"/>
            <a:t> of guestroom furniture for </a:t>
          </a:r>
          <a:r>
            <a:rPr lang="en-US" sz="1100"/>
            <a:t>three models of guest rooms:</a:t>
          </a:r>
          <a:r>
            <a:rPr lang="en-US" sz="1100" baseline="0"/>
            <a:t> the standard guest room, Junior Suite, and Presidential Suite.</a:t>
          </a:r>
        </a:p>
        <a:p>
          <a:endParaRPr lang="en-US" sz="1100" baseline="0"/>
        </a:p>
        <a:p>
          <a:r>
            <a:rPr lang="en-US" sz="1100"/>
            <a:t>The Standard Guest</a:t>
          </a:r>
          <a:r>
            <a:rPr lang="en-US" sz="1100" baseline="0"/>
            <a:t> R</a:t>
          </a:r>
          <a:r>
            <a:rPr lang="en-US" sz="1100"/>
            <a:t>oom</a:t>
          </a:r>
          <a:r>
            <a:rPr lang="en-US" sz="1100" baseline="0"/>
            <a:t> </a:t>
          </a:r>
          <a:r>
            <a:rPr lang="en-US" sz="1100"/>
            <a:t>comes with basic furniture, bathroom plan, and amenities. It sells for $140,000 to franchise hotels.</a:t>
          </a:r>
        </a:p>
        <a:p>
          <a:endParaRPr lang="en-US" sz="1100"/>
        </a:p>
        <a:p>
          <a:r>
            <a:rPr lang="en-US" sz="1100"/>
            <a:t>The Junior Suite model is larger and includes an</a:t>
          </a:r>
          <a:r>
            <a:rPr lang="en-US" sz="1100" baseline="0"/>
            <a:t> enhanced </a:t>
          </a:r>
          <a:r>
            <a:rPr lang="en-US" sz="1100"/>
            <a:t>furniture selection, upgraded bathroom fixtures, more comfortable bedding. The guest room is considered an upgrade from the standard guestroom model. The Junior Suite sells for $240,000 to franchise hotels.</a:t>
          </a:r>
        </a:p>
        <a:p>
          <a:endParaRPr lang="en-US" sz="1100"/>
        </a:p>
        <a:p>
          <a:r>
            <a:rPr lang="en-US" sz="1100"/>
            <a:t>The Presidential Suite model is a custom-made guest room with floors and walls constructed from specialty wood. The drapes are made from the traditional flax-based canvass. It has the look and feel of a room in the White House, with modern comforts and security. The Presidential Suite sells for $1,050,000 to franchise hotels. Workers who build the Presidential Suite are specialized craftsmen. They earn twice the hourly rate of those working on the Standard Guest Room and Junior Suite models. The</a:t>
          </a:r>
          <a:r>
            <a:rPr lang="en-US" sz="1100" baseline="0"/>
            <a:t> l</a:t>
          </a:r>
          <a:r>
            <a:rPr lang="en-US" sz="1100"/>
            <a:t>abor rate is fully burdened to</a:t>
          </a:r>
          <a:r>
            <a:rPr lang="en-US" sz="1100" baseline="0"/>
            <a:t> include</a:t>
          </a:r>
          <a:r>
            <a:rPr lang="en-US" sz="1100"/>
            <a:t> benefits.</a:t>
          </a:r>
        </a:p>
        <a:p>
          <a:endParaRPr lang="en-US" sz="1100"/>
        </a:p>
        <a:p>
          <a:r>
            <a:rPr lang="en-US" sz="1100"/>
            <a:t>Most of Choice Hotels’ guest room sales come from the Standard Guest Room and the Junior Suite, but sales of the Presidential Suite model have been growing. The company's sales, production, and cost information for last year</a:t>
          </a:r>
          <a:r>
            <a:rPr lang="en-US" sz="1100" baseline="0"/>
            <a:t> is provided to the right.</a:t>
          </a:r>
          <a:endParaRPr lang="en-US" sz="1100"/>
        </a:p>
      </xdr:txBody>
    </xdr:sp>
    <xdr:clientData/>
  </xdr:twoCellAnchor>
  <xdr:twoCellAnchor>
    <xdr:from>
      <xdr:col>0</xdr:col>
      <xdr:colOff>0</xdr:colOff>
      <xdr:row>51</xdr:row>
      <xdr:rowOff>11431</xdr:rowOff>
    </xdr:from>
    <xdr:to>
      <xdr:col>13</xdr:col>
      <xdr:colOff>7620</xdr:colOff>
      <xdr:row>67</xdr:row>
      <xdr:rowOff>184785</xdr:rowOff>
    </xdr:to>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0" y="12031981"/>
          <a:ext cx="12837795" cy="324040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Questions:</a:t>
          </a:r>
          <a:r>
            <a:rPr lang="en-US" sz="1100" b="0" i="0" u="none" strike="noStrike">
              <a:solidFill>
                <a:schemeClr val="dk1"/>
              </a:solidFill>
              <a:effectLst/>
              <a:latin typeface="+mn-lt"/>
              <a:ea typeface="+mn-ea"/>
              <a:cs typeface="+mn-cs"/>
            </a:rPr>
            <a:t>19,301</a:t>
          </a:r>
          <a:r>
            <a:rPr lang="en-US"/>
            <a:t> </a:t>
          </a:r>
          <a:endParaRPr lang="en-US">
            <a:effectLst/>
          </a:endParaRPr>
        </a:p>
        <a:p>
          <a:endParaRPr lang="en-US" sz="1100"/>
        </a:p>
        <a:p>
          <a:r>
            <a:rPr lang="en-US" sz="1100"/>
            <a:t>3. Use activity-based costing to allocate the costs of overhead per unit and in total to each guest</a:t>
          </a:r>
          <a:r>
            <a:rPr lang="en-US" sz="1100" baseline="0"/>
            <a:t> room type</a:t>
          </a:r>
          <a:r>
            <a:rPr lang="en-US" sz="1100"/>
            <a:t>. Show all supporting calculations</a:t>
          </a:r>
          <a:r>
            <a:rPr lang="en-US" sz="1100" baseline="0"/>
            <a:t> in the space provided to the right</a:t>
          </a:r>
          <a:r>
            <a:rPr lang="en-US" sz="1100"/>
            <a:t>. </a:t>
          </a:r>
        </a:p>
        <a:p>
          <a:endParaRPr lang="en-US" sz="1100"/>
        </a:p>
        <a:p>
          <a:r>
            <a:rPr lang="en-US" sz="1100"/>
            <a:t>4. Calculate the cost of one Presidential Suite using activity-based costing.</a:t>
          </a:r>
        </a:p>
        <a:p>
          <a:endParaRPr lang="en-US" sz="1100"/>
        </a:p>
        <a:p>
          <a:r>
            <a:rPr lang="en-US" sz="1100">
              <a:solidFill>
                <a:schemeClr val="dk1"/>
              </a:solidFill>
              <a:effectLst/>
              <a:latin typeface="+mn-lt"/>
              <a:ea typeface="+mn-ea"/>
              <a:cs typeface="+mn-cs"/>
            </a:rPr>
            <a:t>5. At the current selling price, is the company covering its true cost of production of the Presidential Suite? Briefly discuss.</a:t>
          </a:r>
        </a:p>
        <a:p>
          <a:endParaRPr lang="en-US">
            <a:effectLst/>
          </a:endParaRPr>
        </a:p>
        <a:p>
          <a:r>
            <a:rPr lang="en-US" sz="1100">
              <a:solidFill>
                <a:schemeClr val="dk1"/>
              </a:solidFill>
              <a:effectLst/>
              <a:latin typeface="+mn-lt"/>
              <a:ea typeface="+mn-ea"/>
              <a:cs typeface="+mn-cs"/>
            </a:rPr>
            <a:t>6. Assume that the Presidential Suite has the same profit margin as the standard guest room. What should</a:t>
          </a:r>
          <a:r>
            <a:rPr lang="en-US" sz="1100" baseline="0">
              <a:solidFill>
                <a:schemeClr val="dk1"/>
              </a:solidFill>
              <a:effectLst/>
              <a:latin typeface="+mn-lt"/>
              <a:ea typeface="+mn-ea"/>
              <a:cs typeface="+mn-cs"/>
            </a:rPr>
            <a:t> its selling price be? </a:t>
          </a:r>
          <a:r>
            <a:rPr lang="en-US" sz="1100">
              <a:solidFill>
                <a:schemeClr val="dk1"/>
              </a:solidFill>
              <a:effectLst/>
              <a:latin typeface="+mn-lt"/>
              <a:ea typeface="+mn-ea"/>
              <a:cs typeface="+mn-cs"/>
            </a:rPr>
            <a:t>Show all calculations.</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7. Based on your</a:t>
          </a:r>
          <a:r>
            <a:rPr lang="en-US" sz="1100" baseline="0">
              <a:solidFill>
                <a:schemeClr val="dk1"/>
              </a:solidFill>
              <a:effectLst/>
              <a:latin typeface="+mn-lt"/>
              <a:ea typeface="+mn-ea"/>
              <a:cs typeface="+mn-cs"/>
            </a:rPr>
            <a:t> response to question 7, what is the unit volume breakeven?</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8. What should Choice Hotels do if the price of the Presidential Suite cannot exceed $1,050,000?</a:t>
          </a:r>
          <a:endParaRPr lang="en-US">
            <a:effectLst/>
          </a:endParaRPr>
        </a:p>
      </xdr:txBody>
    </xdr:sp>
    <xdr:clientData/>
  </xdr:twoCellAnchor>
  <xdr:twoCellAnchor>
    <xdr:from>
      <xdr:col>0</xdr:col>
      <xdr:colOff>0</xdr:colOff>
      <xdr:row>14</xdr:row>
      <xdr:rowOff>224790</xdr:rowOff>
    </xdr:from>
    <xdr:to>
      <xdr:col>6</xdr:col>
      <xdr:colOff>893445</xdr:colOff>
      <xdr:row>29</xdr:row>
      <xdr:rowOff>163830</xdr:rowOff>
    </xdr:to>
    <xdr:sp macro="" textlink="">
      <xdr:nvSpPr>
        <xdr:cNvPr id="11" name="TextBox 10">
          <a:extLst>
            <a:ext uri="{FF2B5EF4-FFF2-40B4-BE49-F238E27FC236}">
              <a16:creationId xmlns:a16="http://schemas.microsoft.com/office/drawing/2014/main" id="{00000000-0008-0000-0400-00000B000000}"/>
            </a:ext>
          </a:extLst>
        </xdr:cNvPr>
        <xdr:cNvSpPr txBox="1"/>
      </xdr:nvSpPr>
      <xdr:spPr>
        <a:xfrm>
          <a:off x="0" y="4406265"/>
          <a:ext cx="6608445" cy="283464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Questions:</a:t>
          </a:r>
          <a:endParaRPr lang="en-US">
            <a:effectLst/>
          </a:endParaRPr>
        </a:p>
        <a:p>
          <a:r>
            <a:rPr lang="en-US" sz="1100" b="0">
              <a:solidFill>
                <a:schemeClr val="dk1"/>
              </a:solidFill>
              <a:effectLst/>
              <a:latin typeface="+mn-lt"/>
              <a:ea typeface="+mn-ea"/>
              <a:cs typeface="+mn-cs"/>
            </a:rPr>
            <a:t>1.</a:t>
          </a:r>
          <a:r>
            <a:rPr lang="en-US" sz="1100" b="0" baseline="0">
              <a:solidFill>
                <a:schemeClr val="dk1"/>
              </a:solidFill>
              <a:effectLst/>
              <a:latin typeface="+mn-lt"/>
              <a:ea typeface="+mn-ea"/>
              <a:cs typeface="+mn-cs"/>
            </a:rPr>
            <a:t> </a:t>
          </a:r>
          <a:r>
            <a:rPr lang="en-US" sz="1100">
              <a:solidFill>
                <a:schemeClr val="dk1"/>
              </a:solidFill>
              <a:effectLst/>
              <a:latin typeface="+mn-lt"/>
              <a:ea typeface="+mn-ea"/>
              <a:cs typeface="+mn-cs"/>
            </a:rPr>
            <a:t>The cost-allocation system Choice Hotels has been using allocates over 90</a:t>
          </a:r>
          <a:r>
            <a:rPr lang="en-US" sz="1100" baseline="0">
              <a:solidFill>
                <a:schemeClr val="dk1"/>
              </a:solidFill>
              <a:effectLst/>
              <a:latin typeface="+mn-lt"/>
              <a:ea typeface="+mn-ea"/>
              <a:cs typeface="+mn-cs"/>
            </a:rPr>
            <a:t> percent</a:t>
          </a:r>
          <a:r>
            <a:rPr lang="en-US" sz="1100">
              <a:solidFill>
                <a:schemeClr val="dk1"/>
              </a:solidFill>
              <a:effectLst/>
              <a:latin typeface="+mn-lt"/>
              <a:ea typeface="+mn-ea"/>
              <a:cs typeface="+mn-cs"/>
            </a:rPr>
            <a:t> of overhead costs to the Standard Guest Room and the Junior Suite, because over 90 percent of the models produced were one of these two models. How much overhead was allocated to each of the three models last year?  Discuss why this might not be an accurate way to assign overhead costs to products.</a:t>
          </a:r>
        </a:p>
        <a:p>
          <a:endParaRPr lang="en-US">
            <a:effectLst/>
          </a:endParaRPr>
        </a:p>
        <a:p>
          <a:r>
            <a:rPr lang="en-US" sz="1100">
              <a:solidFill>
                <a:schemeClr val="dk1"/>
              </a:solidFill>
              <a:effectLst/>
              <a:latin typeface="+mn-lt"/>
              <a:ea typeface="+mn-ea"/>
              <a:cs typeface="+mn-cs"/>
            </a:rPr>
            <a:t>2.</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Choice Hotels' production manager proposes allocating overhead by direct labor hours instead, since the different models require different amounts of labor.  How much overhead would be allocated to each guest room (per unit and in total) using this method?  Show all supporting calculations.</a:t>
          </a:r>
          <a:endParaRPr lang="en-US">
            <a:effectLst/>
          </a:endParaRPr>
        </a:p>
      </xdr:txBody>
    </xdr:sp>
    <xdr:clientData/>
  </xdr:twoCellAnchor>
  <xdr:twoCellAnchor>
    <xdr:from>
      <xdr:col>13</xdr:col>
      <xdr:colOff>133350</xdr:colOff>
      <xdr:row>15</xdr:row>
      <xdr:rowOff>0</xdr:rowOff>
    </xdr:from>
    <xdr:to>
      <xdr:col>17</xdr:col>
      <xdr:colOff>742950</xdr:colOff>
      <xdr:row>21</xdr:row>
      <xdr:rowOff>114300</xdr:rowOff>
    </xdr:to>
    <xdr:sp macro="" textlink="">
      <xdr:nvSpPr>
        <xdr:cNvPr id="2" name="TextBox 1">
          <a:extLst>
            <a:ext uri="{FF2B5EF4-FFF2-40B4-BE49-F238E27FC236}">
              <a16:creationId xmlns:a16="http://schemas.microsoft.com/office/drawing/2014/main" id="{00000000-0008-0000-0400-000002000000}"/>
            </a:ext>
            <a:ext uri="{147F2762-F138-4A5C-976F-8EAC2B608ADB}">
              <a16:predDERef xmlns:a16="http://schemas.microsoft.com/office/drawing/2014/main" pred="{00000000-0008-0000-0400-00000B000000}"/>
            </a:ext>
          </a:extLst>
        </xdr:cNvPr>
        <xdr:cNvSpPr txBox="1"/>
      </xdr:nvSpPr>
      <xdr:spPr>
        <a:xfrm>
          <a:off x="12963525" y="4400550"/>
          <a:ext cx="6591300"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Allocating overhead costs based on </a:t>
          </a:r>
          <a:r>
            <a:rPr lang="en-US"/>
            <a:t> 91.2% of the rooms being either Standard</a:t>
          </a:r>
          <a:r>
            <a:rPr lang="en-US" baseline="0"/>
            <a:t> or Junior Suite rooms assumes that the majority of the overhead will be associated with these rooms. However, just because there are only 25 Presidential Suites does not take into consideration the additional overhead related to inspections and supervision that is required for the extensive custom-made Presidential suites. This is not an accurate allocation of overhead costs and activity-based costing would give a more accurate way to assign overhead costs.</a:t>
          </a:r>
          <a:endParaRPr lang="en-US" sz="1100"/>
        </a:p>
      </xdr:txBody>
    </xdr:sp>
    <xdr:clientData/>
  </xdr:twoCellAnchor>
  <xdr:twoCellAnchor>
    <xdr:from>
      <xdr:col>14</xdr:col>
      <xdr:colOff>171450</xdr:colOff>
      <xdr:row>66</xdr:row>
      <xdr:rowOff>152400</xdr:rowOff>
    </xdr:from>
    <xdr:to>
      <xdr:col>15</xdr:col>
      <xdr:colOff>1384300</xdr:colOff>
      <xdr:row>71</xdr:row>
      <xdr:rowOff>114300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4941550" y="14922500"/>
          <a:ext cx="3467100" cy="882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No, currently the cost of one Presidential Suite is $1,085,562 and the price they are selling these units is set at $1,050,000. They are losing $35,562 on every Presidential Suite they sell.</a:t>
          </a:r>
          <a:r>
            <a:rPr lang="en-US"/>
            <a:t> </a:t>
          </a:r>
          <a:endParaRPr lang="en-US" sz="1100"/>
        </a:p>
      </xdr:txBody>
    </xdr:sp>
    <xdr:clientData/>
  </xdr:twoCellAnchor>
  <xdr:twoCellAnchor>
    <xdr:from>
      <xdr:col>14</xdr:col>
      <xdr:colOff>88900</xdr:colOff>
      <xdr:row>71</xdr:row>
      <xdr:rowOff>311150</xdr:rowOff>
    </xdr:from>
    <xdr:to>
      <xdr:col>16</xdr:col>
      <xdr:colOff>57150</xdr:colOff>
      <xdr:row>72</xdr:row>
      <xdr:rowOff>6350</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14859000" y="16002000"/>
          <a:ext cx="3727450" cy="114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The current profit margin for the standard room is 25.5344%. If we wanted to use the same profit margin and determine</a:t>
          </a:r>
          <a:r>
            <a:rPr lang="en-US" sz="1100" b="0" i="0" u="none" strike="noStrike" baseline="0">
              <a:solidFill>
                <a:schemeClr val="dk1"/>
              </a:solidFill>
              <a:effectLst/>
              <a:latin typeface="+mn-lt"/>
              <a:ea typeface="+mn-ea"/>
              <a:cs typeface="+mn-cs"/>
            </a:rPr>
            <a:t> an appropriate selling price for </a:t>
          </a:r>
          <a:r>
            <a:rPr lang="en-US" sz="1100" b="0" i="0" u="none" strike="noStrike">
              <a:solidFill>
                <a:schemeClr val="dk1"/>
              </a:solidFill>
              <a:effectLst/>
              <a:latin typeface="+mn-lt"/>
              <a:ea typeface="+mn-ea"/>
              <a:cs typeface="+mn-cs"/>
            </a:rPr>
            <a:t>the Presidential Suite, we would need to take the total manufacturing</a:t>
          </a:r>
          <a:r>
            <a:rPr lang="en-US" sz="1100" b="0" i="0" u="none" strike="noStrike" baseline="0">
              <a:solidFill>
                <a:schemeClr val="dk1"/>
              </a:solidFill>
              <a:effectLst/>
              <a:latin typeface="+mn-lt"/>
              <a:ea typeface="+mn-ea"/>
              <a:cs typeface="+mn-cs"/>
            </a:rPr>
            <a:t> cost $1,085,562.13 and divide it by (1-gross profit rate) </a:t>
          </a:r>
          <a:r>
            <a:rPr lang="en-US" sz="1100" b="0" i="0" u="none" strike="noStrike">
              <a:solidFill>
                <a:schemeClr val="dk1"/>
              </a:solidFill>
              <a:effectLst/>
              <a:latin typeface="+mn-lt"/>
              <a:ea typeface="+mn-ea"/>
              <a:cs typeface="+mn-cs"/>
            </a:rPr>
            <a:t>= $1,457,802.88..</a:t>
          </a:r>
          <a:r>
            <a:rPr lang="en-US"/>
            <a:t> </a:t>
          </a:r>
          <a:endParaRPr lang="en-US" sz="1100"/>
        </a:p>
      </xdr:txBody>
    </xdr:sp>
    <xdr:clientData/>
  </xdr:twoCellAnchor>
  <xdr:twoCellAnchor>
    <xdr:from>
      <xdr:col>14</xdr:col>
      <xdr:colOff>82550</xdr:colOff>
      <xdr:row>80</xdr:row>
      <xdr:rowOff>88900</xdr:rowOff>
    </xdr:from>
    <xdr:to>
      <xdr:col>16</xdr:col>
      <xdr:colOff>1079500</xdr:colOff>
      <xdr:row>80</xdr:row>
      <xdr:rowOff>1016000</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14852650" y="18707100"/>
          <a:ext cx="4756150" cy="927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If the fixed overhead cost is $8,550,000 and the Presidential Suite sells for $1,457,802.88, with the variable cost per unit being $950,000 the break even unit would be 16 units.</a:t>
          </a:r>
          <a:r>
            <a:rPr lang="en-US"/>
            <a:t> </a:t>
          </a:r>
          <a:endParaRPr lang="en-US" sz="1100"/>
        </a:p>
      </xdr:txBody>
    </xdr:sp>
    <xdr:clientData/>
  </xdr:twoCellAnchor>
  <xdr:twoCellAnchor>
    <xdr:from>
      <xdr:col>14</xdr:col>
      <xdr:colOff>190500</xdr:colOff>
      <xdr:row>89</xdr:row>
      <xdr:rowOff>76200</xdr:rowOff>
    </xdr:from>
    <xdr:to>
      <xdr:col>16</xdr:col>
      <xdr:colOff>1003300</xdr:colOff>
      <xdr:row>89</xdr:row>
      <xdr:rowOff>1371600</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14960600" y="21824950"/>
          <a:ext cx="4572000"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Right now, Choice Hotels break even cost is $1,085,562, so they need to try to reduce that to be closer to $1,050,000 if they don't think they can sell Presidential Suites for more than that amount. Since Choice Hotels cannot change their fixed costs, they need to try to find a way to reduce their variable costs, such as direct materials and/or direct labor. This will reduce the overall cost to produce each Presidential Suite so they can get closer to a breakeven cost.</a:t>
          </a:r>
          <a:r>
            <a:rPr lang="en-US"/>
            <a:t>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hyperlink" Target="http://investor.choicehotels.com/financial-performance-and-presentations?item=4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0"/>
  <sheetViews>
    <sheetView topLeftCell="A46" workbookViewId="0">
      <selection activeCell="B45" sqref="B45"/>
    </sheetView>
  </sheetViews>
  <sheetFormatPr defaultColWidth="8.85546875" defaultRowHeight="15" x14ac:dyDescent="0.25"/>
  <cols>
    <col min="2" max="2" width="39.7109375" bestFit="1" customWidth="1"/>
    <col min="3" max="3" width="17.28515625" bestFit="1" customWidth="1"/>
    <col min="4" max="4" width="17.28515625" style="112" bestFit="1" customWidth="1"/>
    <col min="5" max="5" width="15.7109375" bestFit="1" customWidth="1"/>
    <col min="6" max="6" width="17.28515625" style="112" bestFit="1" customWidth="1"/>
    <col min="7" max="7" width="15.7109375" bestFit="1" customWidth="1"/>
    <col min="8" max="8" width="17.28515625" style="112" bestFit="1" customWidth="1"/>
    <col min="10" max="10" width="37.7109375" customWidth="1"/>
    <col min="11" max="11" width="12" bestFit="1" customWidth="1"/>
    <col min="12" max="12" width="17.28515625" style="112" bestFit="1" customWidth="1"/>
    <col min="13" max="13" width="12" bestFit="1" customWidth="1"/>
    <col min="14" max="14" width="17.28515625" style="112" bestFit="1" customWidth="1"/>
    <col min="15" max="15" width="12" style="104" bestFit="1" customWidth="1"/>
    <col min="16" max="16" width="17.28515625" style="112" bestFit="1" customWidth="1"/>
    <col min="17" max="17" width="20.5703125" bestFit="1" customWidth="1"/>
  </cols>
  <sheetData>
    <row r="1" spans="2:17" x14ac:dyDescent="0.25">
      <c r="B1" s="103"/>
      <c r="C1" s="104" t="s">
        <v>0</v>
      </c>
      <c r="E1" s="104"/>
      <c r="G1" s="104"/>
      <c r="J1" t="s">
        <v>1</v>
      </c>
    </row>
    <row r="2" spans="2:17" x14ac:dyDescent="0.25">
      <c r="B2" s="105" t="s">
        <v>2</v>
      </c>
      <c r="C2" s="143" t="s">
        <v>3</v>
      </c>
      <c r="D2" s="143"/>
      <c r="E2" s="143"/>
      <c r="F2" s="143"/>
      <c r="G2" s="143"/>
      <c r="H2" s="143"/>
      <c r="J2" s="144" t="s">
        <v>4</v>
      </c>
      <c r="K2" s="145" t="s">
        <v>3</v>
      </c>
      <c r="L2" s="145"/>
      <c r="M2" s="145"/>
      <c r="N2" s="145"/>
      <c r="O2" s="145"/>
      <c r="P2" s="145"/>
    </row>
    <row r="3" spans="2:17" ht="28.5" customHeight="1" x14ac:dyDescent="0.25">
      <c r="B3" s="105" t="s">
        <v>5</v>
      </c>
      <c r="C3" s="136" t="s">
        <v>6</v>
      </c>
      <c r="D3" s="113" t="s">
        <v>7</v>
      </c>
      <c r="E3" s="136" t="s">
        <v>8</v>
      </c>
      <c r="F3" s="113" t="s">
        <v>7</v>
      </c>
      <c r="G3" s="136" t="s">
        <v>9</v>
      </c>
      <c r="H3" s="113" t="s">
        <v>7</v>
      </c>
      <c r="I3" t="s">
        <v>10</v>
      </c>
      <c r="J3" s="144"/>
      <c r="K3" s="18" t="s">
        <v>6</v>
      </c>
      <c r="L3" s="113" t="s">
        <v>7</v>
      </c>
      <c r="M3" s="18" t="s">
        <v>8</v>
      </c>
      <c r="N3" s="113" t="s">
        <v>7</v>
      </c>
      <c r="O3" s="89" t="s">
        <v>9</v>
      </c>
      <c r="P3" s="113" t="s">
        <v>7</v>
      </c>
      <c r="Q3" s="87" t="s">
        <v>11</v>
      </c>
    </row>
    <row r="4" spans="2:17" x14ac:dyDescent="0.25">
      <c r="B4" s="106" t="s">
        <v>12</v>
      </c>
      <c r="C4" s="78"/>
      <c r="D4" s="113"/>
      <c r="E4" s="78"/>
      <c r="F4" s="113"/>
      <c r="G4" s="78"/>
      <c r="H4" s="113"/>
      <c r="J4" s="18" t="s">
        <v>13</v>
      </c>
      <c r="K4" s="19"/>
      <c r="L4" s="113"/>
      <c r="M4" s="19"/>
      <c r="N4" s="113"/>
      <c r="O4" s="78"/>
      <c r="P4" s="113"/>
      <c r="Q4" s="82"/>
    </row>
    <row r="5" spans="2:17" x14ac:dyDescent="0.25">
      <c r="B5" s="80" t="s">
        <v>14</v>
      </c>
      <c r="C5" s="107">
        <v>388151</v>
      </c>
      <c r="D5" s="114">
        <f>C5/C11</f>
        <v>0.34817369620207744</v>
      </c>
      <c r="E5" s="88">
        <v>376676000</v>
      </c>
      <c r="F5" s="114">
        <f>E5/E11</f>
        <v>0.3617349016233492</v>
      </c>
      <c r="G5" s="88">
        <v>341745000</v>
      </c>
      <c r="H5" s="114">
        <f>G5/G11</f>
        <v>0.36305756844014164</v>
      </c>
      <c r="I5" s="66">
        <f>D5-H5</f>
        <v>-1.48838722380642E-2</v>
      </c>
      <c r="J5" s="78" t="s">
        <v>15</v>
      </c>
      <c r="K5" s="81">
        <v>1180</v>
      </c>
      <c r="L5" s="114">
        <f>K5/K13</f>
        <v>5.6265496852946788E-2</v>
      </c>
      <c r="M5" s="88">
        <v>1140</v>
      </c>
      <c r="N5" s="114">
        <f>M5/M13</f>
        <v>5.4918585605549665E-2</v>
      </c>
      <c r="O5" s="88">
        <v>1102</v>
      </c>
      <c r="P5" s="114">
        <f>O5/O13</f>
        <v>5.3882260903579109E-2</v>
      </c>
      <c r="Q5" s="83">
        <f>K5-O5</f>
        <v>78</v>
      </c>
    </row>
    <row r="6" spans="2:17" x14ac:dyDescent="0.25">
      <c r="B6" s="80" t="s">
        <v>16</v>
      </c>
      <c r="C6" s="107">
        <v>27489</v>
      </c>
      <c r="D6" s="114">
        <f>C6/C11</f>
        <v>2.465779228933819E-2</v>
      </c>
      <c r="E6" s="88">
        <v>26072000</v>
      </c>
      <c r="F6" s="114">
        <f>E6/E11</f>
        <v>2.5037837173390289E-2</v>
      </c>
      <c r="G6" s="88">
        <v>23038000</v>
      </c>
      <c r="H6" s="114">
        <f>G6/G11</f>
        <v>2.4474740703518655E-2</v>
      </c>
      <c r="I6" s="66">
        <f t="shared" ref="I6:I33" si="0">D6-H6</f>
        <v>1.8305158581953529E-4</v>
      </c>
      <c r="J6" s="78" t="s">
        <v>17</v>
      </c>
      <c r="K6" s="81">
        <v>2006</v>
      </c>
      <c r="L6" s="114">
        <f>K6/K13</f>
        <v>9.5651344650009532E-2</v>
      </c>
      <c r="M6" s="88">
        <v>1849</v>
      </c>
      <c r="N6" s="114">
        <f>M6/M13</f>
        <v>8.9074091916369599E-2</v>
      </c>
      <c r="O6" s="88">
        <v>1586</v>
      </c>
      <c r="P6" s="114">
        <f>O6/O13</f>
        <v>7.7547428124388806E-2</v>
      </c>
      <c r="Q6" s="83">
        <f t="shared" ref="Q6:Q31" si="1">K6-O6</f>
        <v>420</v>
      </c>
    </row>
    <row r="7" spans="2:17" x14ac:dyDescent="0.25">
      <c r="B7" s="80" t="s">
        <v>18</v>
      </c>
      <c r="C7" s="107">
        <v>61429</v>
      </c>
      <c r="D7" s="114">
        <f>C7/C11</f>
        <v>5.510216896001148E-2</v>
      </c>
      <c r="E7" s="88">
        <v>52088000</v>
      </c>
      <c r="F7" s="114">
        <f>E7/E11</f>
        <v>5.0021895623180164E-2</v>
      </c>
      <c r="G7" s="88">
        <v>40451000</v>
      </c>
      <c r="H7" s="114">
        <f>G7/G11</f>
        <v>4.2973684182569367E-2</v>
      </c>
      <c r="I7" s="66">
        <f t="shared" si="0"/>
        <v>1.2128484777442113E-2</v>
      </c>
      <c r="J7" s="78" t="s">
        <v>19</v>
      </c>
      <c r="K7" s="81">
        <v>637</v>
      </c>
      <c r="L7" s="114">
        <f>K7/K13</f>
        <v>3.0373831775700934E-2</v>
      </c>
      <c r="M7" s="88">
        <v>649</v>
      </c>
      <c r="N7" s="114">
        <f>M7/M13</f>
        <v>3.1265054436843624E-2</v>
      </c>
      <c r="O7" s="88">
        <v>607</v>
      </c>
      <c r="P7" s="114">
        <f>O7/O13</f>
        <v>2.9679248973205556E-2</v>
      </c>
      <c r="Q7" s="83">
        <f t="shared" si="1"/>
        <v>30</v>
      </c>
    </row>
    <row r="8" spans="2:17" x14ac:dyDescent="0.25">
      <c r="B8" s="80" t="s">
        <v>20</v>
      </c>
      <c r="C8" s="107">
        <v>577426</v>
      </c>
      <c r="D8" s="114">
        <f>C8/C11</f>
        <v>0.5179544679858632</v>
      </c>
      <c r="E8" s="88">
        <v>543677000</v>
      </c>
      <c r="F8" s="114">
        <f>E8/E11</f>
        <v>0.52211169840891802</v>
      </c>
      <c r="G8" s="88">
        <v>499625000</v>
      </c>
      <c r="H8" s="114">
        <f>G8/G11</f>
        <v>0.53078358902663025</v>
      </c>
      <c r="I8" s="66">
        <f t="shared" si="0"/>
        <v>-1.2829121040767055E-2</v>
      </c>
      <c r="J8" s="78" t="s">
        <v>21</v>
      </c>
      <c r="K8" s="81">
        <v>3823</v>
      </c>
      <c r="L8" s="114">
        <f>K8/K13</f>
        <v>0.18229067327865725</v>
      </c>
      <c r="M8" s="88">
        <v>3638</v>
      </c>
      <c r="N8" s="114">
        <f>M8/M13</f>
        <v>0.17525773195876287</v>
      </c>
      <c r="O8" s="88">
        <v>3295</v>
      </c>
      <c r="P8" s="114">
        <f>O8/O13</f>
        <v>0.16110893800117349</v>
      </c>
      <c r="Q8" s="83">
        <f t="shared" si="1"/>
        <v>528</v>
      </c>
    </row>
    <row r="9" spans="2:17" x14ac:dyDescent="0.25">
      <c r="B9" s="80" t="s">
        <v>22</v>
      </c>
      <c r="C9" s="107">
        <v>20282</v>
      </c>
      <c r="D9" s="114">
        <f>C9/C11</f>
        <v>1.8193071527242068E-2</v>
      </c>
      <c r="E9" s="88">
        <v>0</v>
      </c>
      <c r="F9" s="114">
        <f>E9/E11</f>
        <v>0</v>
      </c>
      <c r="G9" s="88">
        <v>0</v>
      </c>
      <c r="H9" s="114">
        <f>G9/G11</f>
        <v>0</v>
      </c>
      <c r="I9" s="66">
        <f t="shared" si="0"/>
        <v>1.8193071527242068E-2</v>
      </c>
      <c r="J9" s="78" t="s">
        <v>23</v>
      </c>
      <c r="K9" s="81">
        <v>-62</v>
      </c>
      <c r="L9" s="114">
        <f>K9/K13</f>
        <v>-2.9563227160022887E-3</v>
      </c>
      <c r="M9" s="88">
        <v>-58</v>
      </c>
      <c r="N9" s="114">
        <f>M9/M13</f>
        <v>-2.7941034781770882E-3</v>
      </c>
      <c r="O9" s="88">
        <v>-50</v>
      </c>
      <c r="P9" s="114">
        <f>O9/O13</f>
        <v>-2.444748679835713E-3</v>
      </c>
      <c r="Q9" s="83">
        <f t="shared" si="1"/>
        <v>-12</v>
      </c>
    </row>
    <row r="10" spans="2:17" x14ac:dyDescent="0.25">
      <c r="B10" s="80" t="s">
        <v>24</v>
      </c>
      <c r="C10" s="107">
        <v>40043</v>
      </c>
      <c r="D10" s="114">
        <f>C10/C11</f>
        <v>3.5918803035467607E-2</v>
      </c>
      <c r="E10" s="88">
        <v>42791000</v>
      </c>
      <c r="F10" s="114">
        <f>E10/E11</f>
        <v>4.1093667171162314E-2</v>
      </c>
      <c r="G10" s="88">
        <v>36438000</v>
      </c>
      <c r="H10" s="114">
        <f>G10/G11</f>
        <v>3.8710417647140061E-2</v>
      </c>
      <c r="I10" s="66">
        <f t="shared" si="0"/>
        <v>-2.7916146116724536E-3</v>
      </c>
      <c r="J10" s="78" t="s">
        <v>25</v>
      </c>
      <c r="K10" s="81">
        <v>3761</v>
      </c>
      <c r="L10" s="114">
        <f>K10/K13</f>
        <v>0.17933435056265498</v>
      </c>
      <c r="M10" s="88">
        <v>3580</v>
      </c>
      <c r="N10" s="114">
        <f>M10/M13</f>
        <v>0.1724636284805858</v>
      </c>
      <c r="O10" s="88">
        <v>3245</v>
      </c>
      <c r="P10" s="114">
        <f>O10/O13</f>
        <v>0.15866418932133777</v>
      </c>
      <c r="Q10" s="83">
        <f t="shared" si="1"/>
        <v>516</v>
      </c>
    </row>
    <row r="11" spans="2:17" x14ac:dyDescent="0.25">
      <c r="B11" s="80" t="s">
        <v>26</v>
      </c>
      <c r="C11" s="107">
        <f>SUM(C5:C10)</f>
        <v>1114820</v>
      </c>
      <c r="D11" s="114">
        <f>SUM(D5:D10)</f>
        <v>0.99999999999999989</v>
      </c>
      <c r="E11" s="88">
        <v>1041304000</v>
      </c>
      <c r="F11" s="114">
        <f>SUM(F5:F10)</f>
        <v>1</v>
      </c>
      <c r="G11" s="88">
        <v>941297000</v>
      </c>
      <c r="H11" s="114">
        <f>SUM(H5:H10)</f>
        <v>1</v>
      </c>
      <c r="I11" s="66">
        <f t="shared" si="0"/>
        <v>0</v>
      </c>
      <c r="J11" s="78" t="s">
        <v>27</v>
      </c>
      <c r="K11" s="81">
        <v>1612</v>
      </c>
      <c r="L11" s="114">
        <f>K11/K13</f>
        <v>7.6864390616059514E-2</v>
      </c>
      <c r="M11" s="88">
        <v>1635</v>
      </c>
      <c r="N11" s="114">
        <f>M11/M13</f>
        <v>7.876481356585413E-2</v>
      </c>
      <c r="O11" s="88">
        <v>1752</v>
      </c>
      <c r="P11" s="114">
        <f>O11/O13</f>
        <v>8.5663993741443373E-2</v>
      </c>
      <c r="Q11" s="83">
        <f t="shared" si="1"/>
        <v>-140</v>
      </c>
    </row>
    <row r="12" spans="2:17" x14ac:dyDescent="0.25">
      <c r="B12" s="106" t="s">
        <v>28</v>
      </c>
      <c r="C12" s="88"/>
      <c r="D12" s="115"/>
      <c r="E12" s="88"/>
      <c r="F12" s="115"/>
      <c r="G12" s="88"/>
      <c r="H12" s="115"/>
      <c r="I12" s="66">
        <f t="shared" si="0"/>
        <v>0</v>
      </c>
      <c r="J12" s="78" t="s">
        <v>29</v>
      </c>
      <c r="K12" s="81">
        <v>15599</v>
      </c>
      <c r="L12" s="114">
        <f>K12/K13</f>
        <v>0.74380125882128556</v>
      </c>
      <c r="M12" s="88">
        <v>15543</v>
      </c>
      <c r="N12" s="114">
        <f>M12/M13</f>
        <v>0.7487715579535601</v>
      </c>
      <c r="O12" s="88">
        <v>15455</v>
      </c>
      <c r="P12" s="114">
        <f>O12/O13</f>
        <v>0.75567181693721885</v>
      </c>
      <c r="Q12" s="83">
        <f t="shared" si="1"/>
        <v>144</v>
      </c>
    </row>
    <row r="13" spans="2:17" x14ac:dyDescent="0.25">
      <c r="B13" s="80" t="s">
        <v>30</v>
      </c>
      <c r="C13" s="107">
        <v>168833</v>
      </c>
      <c r="D13" s="114">
        <f>C13/C11</f>
        <v>0.15144417932939847</v>
      </c>
      <c r="E13" s="88">
        <v>170027000</v>
      </c>
      <c r="F13" s="114">
        <f>E13/E11</f>
        <v>0.16328276852869095</v>
      </c>
      <c r="G13" s="88">
        <v>165821000</v>
      </c>
      <c r="H13" s="114">
        <f>G13/G11</f>
        <v>0.17616225272151084</v>
      </c>
      <c r="I13" s="66">
        <f t="shared" si="0"/>
        <v>-2.4718073392112377E-2</v>
      </c>
      <c r="J13" s="78" t="s">
        <v>26</v>
      </c>
      <c r="K13" s="81">
        <v>20972</v>
      </c>
      <c r="L13" s="114">
        <f>SUM(L10:L12)</f>
        <v>1</v>
      </c>
      <c r="M13" s="88">
        <v>20758</v>
      </c>
      <c r="N13" s="114">
        <f>SUM(N10:N12)</f>
        <v>1</v>
      </c>
      <c r="O13" s="88">
        <v>20452</v>
      </c>
      <c r="P13" s="114">
        <f>SUM(P10:P12)</f>
        <v>1</v>
      </c>
      <c r="Q13" s="83">
        <f t="shared" si="1"/>
        <v>520</v>
      </c>
    </row>
    <row r="14" spans="2:17" x14ac:dyDescent="0.25">
      <c r="B14" s="80" t="s">
        <v>31</v>
      </c>
      <c r="C14" s="107">
        <v>18828</v>
      </c>
      <c r="D14" s="114">
        <f>C14/C11</f>
        <v>1.6888825101810157E-2</v>
      </c>
      <c r="E14" s="88">
        <v>14330000</v>
      </c>
      <c r="F14" s="114">
        <f>E14/E11</f>
        <v>1.3761591235604588E-2</v>
      </c>
      <c r="G14" s="88">
        <v>6680000</v>
      </c>
      <c r="H14" s="114">
        <f>G14/G11</f>
        <v>7.0965911927903733E-3</v>
      </c>
      <c r="I14" s="66">
        <f t="shared" si="0"/>
        <v>9.7922339090197839E-3</v>
      </c>
      <c r="J14" s="89" t="s">
        <v>32</v>
      </c>
      <c r="K14" s="88"/>
      <c r="L14" s="115"/>
      <c r="M14" s="88"/>
      <c r="N14" s="115"/>
      <c r="O14" s="88"/>
      <c r="P14" s="115"/>
      <c r="Q14" s="83">
        <f t="shared" si="1"/>
        <v>0</v>
      </c>
    </row>
    <row r="15" spans="2:17" x14ac:dyDescent="0.25">
      <c r="B15" s="80" t="s">
        <v>20</v>
      </c>
      <c r="C15" s="107">
        <v>579139</v>
      </c>
      <c r="D15" s="114">
        <f>C15/C11</f>
        <v>0.51949103891211135</v>
      </c>
      <c r="E15" s="88">
        <v>534266000</v>
      </c>
      <c r="F15" s="114">
        <f>E15/E11</f>
        <v>0.51307399184099933</v>
      </c>
      <c r="G15" s="88">
        <v>479400000</v>
      </c>
      <c r="H15" s="114">
        <f>G15/G11</f>
        <v>0.50929727811732106</v>
      </c>
      <c r="I15" s="66">
        <f t="shared" si="0"/>
        <v>1.0193760794790285E-2</v>
      </c>
      <c r="J15" s="78" t="s">
        <v>33</v>
      </c>
      <c r="K15" s="88">
        <v>0</v>
      </c>
      <c r="L15" s="114">
        <f>K15/K13</f>
        <v>0</v>
      </c>
      <c r="M15" s="88">
        <v>1306</v>
      </c>
      <c r="N15" s="114">
        <f>M15/M13</f>
        <v>6.2915502456884098E-2</v>
      </c>
      <c r="O15" s="88">
        <v>1411</v>
      </c>
      <c r="P15" s="114">
        <f>O15/O13</f>
        <v>6.8990807744963814E-2</v>
      </c>
      <c r="Q15" s="84">
        <f t="shared" si="1"/>
        <v>-1411</v>
      </c>
    </row>
    <row r="16" spans="2:17" x14ac:dyDescent="0.25">
      <c r="B16" s="80" t="s">
        <v>22</v>
      </c>
      <c r="C16" s="107">
        <v>14448</v>
      </c>
      <c r="D16" s="114">
        <f>C16/C11</f>
        <v>1.2959939721210598E-2</v>
      </c>
      <c r="E16" s="88">
        <v>0</v>
      </c>
      <c r="F16" s="114">
        <f>E16/E11</f>
        <v>0</v>
      </c>
      <c r="G16" s="88">
        <v>0</v>
      </c>
      <c r="H16" s="114">
        <f>G16/G11</f>
        <v>0</v>
      </c>
      <c r="I16" s="66">
        <f t="shared" si="0"/>
        <v>1.2959939721210598E-2</v>
      </c>
      <c r="J16" s="78" t="s">
        <v>34</v>
      </c>
      <c r="K16" s="81">
        <v>341</v>
      </c>
      <c r="L16" s="114">
        <f>K16/K13</f>
        <v>1.6259774938012589E-2</v>
      </c>
      <c r="M16" s="88">
        <v>226</v>
      </c>
      <c r="N16" s="114">
        <f>M16/M13</f>
        <v>1.0887368725310724E-2</v>
      </c>
      <c r="O16" s="88">
        <v>229</v>
      </c>
      <c r="P16" s="114">
        <f>O16/O13</f>
        <v>1.1196948953647565E-2</v>
      </c>
      <c r="Q16" s="83">
        <f t="shared" si="1"/>
        <v>112</v>
      </c>
    </row>
    <row r="17" spans="2:17" x14ac:dyDescent="0.25">
      <c r="B17" s="80" t="s">
        <v>35</v>
      </c>
      <c r="C17" s="107">
        <f>SUM(C13:C16)</f>
        <v>781248</v>
      </c>
      <c r="D17" s="114">
        <f>C17/C11</f>
        <v>0.7007839830645306</v>
      </c>
      <c r="E17" s="88">
        <v>718623000</v>
      </c>
      <c r="F17" s="114">
        <f>E17/E11</f>
        <v>0.69011835160529489</v>
      </c>
      <c r="G17" s="88">
        <v>651901000</v>
      </c>
      <c r="H17" s="114">
        <f>G17/G11</f>
        <v>0.69255612203162231</v>
      </c>
      <c r="I17" s="66">
        <f t="shared" si="0"/>
        <v>8.2278610329082902E-3</v>
      </c>
      <c r="J17" s="78" t="s">
        <v>36</v>
      </c>
      <c r="K17" s="81">
        <v>938</v>
      </c>
      <c r="L17" s="114">
        <f>K17/K13</f>
        <v>4.4726301735647532E-2</v>
      </c>
      <c r="M17" s="88">
        <v>927</v>
      </c>
      <c r="N17" s="114">
        <f>M17/M13</f>
        <v>4.4657481452933807E-2</v>
      </c>
      <c r="O17" s="88">
        <v>921</v>
      </c>
      <c r="P17" s="114">
        <f>O17/O13</f>
        <v>4.503227068257383E-2</v>
      </c>
      <c r="Q17" s="83">
        <f t="shared" si="1"/>
        <v>17</v>
      </c>
    </row>
    <row r="18" spans="2:17" x14ac:dyDescent="0.25">
      <c r="B18" s="80" t="s">
        <v>37</v>
      </c>
      <c r="C18" s="107">
        <v>-3097</v>
      </c>
      <c r="D18" s="114">
        <f>C18/C11</f>
        <v>-2.7780269460540713E-3</v>
      </c>
      <c r="E18" s="88">
        <v>-4289000</v>
      </c>
      <c r="F18" s="114">
        <f>E18/E11</f>
        <v>-4.118874027181303E-3</v>
      </c>
      <c r="G18" s="88">
        <v>0</v>
      </c>
      <c r="H18" s="114">
        <f>G18/G11</f>
        <v>0</v>
      </c>
      <c r="I18" s="66">
        <f t="shared" si="0"/>
        <v>-2.7780269460540713E-3</v>
      </c>
      <c r="J18" s="78" t="s">
        <v>38</v>
      </c>
      <c r="K18" s="81">
        <v>138</v>
      </c>
      <c r="L18" s="114">
        <f>K18/K13</f>
        <v>6.580202174327675E-3</v>
      </c>
      <c r="M18" s="88">
        <v>155</v>
      </c>
      <c r="N18" s="114">
        <f>M18/M13</f>
        <v>7.467000674438771E-3</v>
      </c>
      <c r="O18" s="88">
        <v>159</v>
      </c>
      <c r="P18" s="114">
        <f>O18/O13</f>
        <v>7.7743008018775666E-3</v>
      </c>
      <c r="Q18" s="83">
        <f t="shared" si="1"/>
        <v>-21</v>
      </c>
    </row>
    <row r="19" spans="2:17" x14ac:dyDescent="0.25">
      <c r="B19" s="80" t="s">
        <v>39</v>
      </c>
      <c r="C19" s="107">
        <v>100</v>
      </c>
      <c r="D19" s="114">
        <f>C19/C11</f>
        <v>8.9700579465743345E-5</v>
      </c>
      <c r="E19" s="88">
        <v>82000</v>
      </c>
      <c r="F19" s="114">
        <f>E19/E11</f>
        <v>7.8747416700598475E-5</v>
      </c>
      <c r="G19" s="88">
        <v>257000</v>
      </c>
      <c r="H19" s="114">
        <f>G19/G11</f>
        <v>2.7302753541124639E-4</v>
      </c>
      <c r="I19" s="66">
        <f t="shared" si="0"/>
        <v>-1.8332695594550303E-4</v>
      </c>
      <c r="J19" s="78" t="s">
        <v>40</v>
      </c>
      <c r="K19" s="88">
        <v>0</v>
      </c>
      <c r="L19" s="114">
        <f>K19/K13</f>
        <v>0</v>
      </c>
      <c r="M19" s="88">
        <v>15778</v>
      </c>
      <c r="N19" s="114">
        <f>M19/M13</f>
        <v>0.76009249445996729</v>
      </c>
      <c r="O19" s="88">
        <v>15228</v>
      </c>
      <c r="P19" s="114">
        <f>O19/O13</f>
        <v>0.74457265793076477</v>
      </c>
      <c r="Q19" s="84">
        <f t="shared" si="1"/>
        <v>-15228</v>
      </c>
    </row>
    <row r="20" spans="2:17" x14ac:dyDescent="0.25">
      <c r="B20" s="80" t="s">
        <v>41</v>
      </c>
      <c r="C20" s="107">
        <v>318642</v>
      </c>
      <c r="D20" s="114">
        <f>C20/C11</f>
        <v>0.28582372042123394</v>
      </c>
      <c r="E20" s="88">
        <v>318474000</v>
      </c>
      <c r="F20" s="114">
        <f>E20/E11</f>
        <v>0.30584152178422441</v>
      </c>
      <c r="G20" s="88">
        <v>289653000</v>
      </c>
      <c r="H20" s="114">
        <f>G20/G11</f>
        <v>0.30771690550378894</v>
      </c>
      <c r="I20" s="66">
        <f t="shared" si="0"/>
        <v>-2.1893185082555E-2</v>
      </c>
      <c r="J20" s="78" t="s">
        <v>35</v>
      </c>
      <c r="K20" s="81">
        <v>19172</v>
      </c>
      <c r="L20" s="114">
        <f>K20/K13</f>
        <v>0.9141712759870303</v>
      </c>
      <c r="M20" s="88">
        <v>18392</v>
      </c>
      <c r="N20" s="114">
        <f>M20/M13</f>
        <v>0.88601984776953469</v>
      </c>
      <c r="O20" s="88">
        <v>17948</v>
      </c>
      <c r="P20" s="114">
        <f>O20/O13</f>
        <v>0.87756698611382755</v>
      </c>
      <c r="Q20" s="83">
        <f t="shared" si="1"/>
        <v>1224</v>
      </c>
    </row>
    <row r="21" spans="2:17" x14ac:dyDescent="0.25">
      <c r="B21" s="106" t="s">
        <v>42</v>
      </c>
      <c r="C21" s="88"/>
      <c r="D21" s="115"/>
      <c r="E21" s="88"/>
      <c r="F21" s="115"/>
      <c r="G21" s="88"/>
      <c r="H21" s="115"/>
      <c r="I21" s="66">
        <f t="shared" si="0"/>
        <v>0</v>
      </c>
      <c r="J21" s="89" t="s">
        <v>43</v>
      </c>
      <c r="K21" s="81">
        <v>1800</v>
      </c>
      <c r="L21" s="114">
        <f>K21/K13</f>
        <v>8.5828724012969676E-2</v>
      </c>
      <c r="M21" s="88">
        <v>2366</v>
      </c>
      <c r="N21" s="114">
        <f>M21/M13</f>
        <v>0.11398015223046536</v>
      </c>
      <c r="O21" s="88">
        <v>2504</v>
      </c>
      <c r="P21" s="114">
        <f>O21/O13</f>
        <v>0.1224330138861725</v>
      </c>
      <c r="Q21" s="83">
        <f t="shared" si="1"/>
        <v>-704</v>
      </c>
    </row>
    <row r="22" spans="2:17" x14ac:dyDescent="0.25">
      <c r="B22" s="80" t="s">
        <v>44</v>
      </c>
      <c r="C22" s="107">
        <v>46807</v>
      </c>
      <c r="D22" s="114">
        <f>C22/C11</f>
        <v>4.198615023053049E-2</v>
      </c>
      <c r="E22" s="88">
        <v>45908000</v>
      </c>
      <c r="F22" s="114">
        <f>E22/E11</f>
        <v>4.4087029340135059E-2</v>
      </c>
      <c r="G22" s="88">
        <v>45039000</v>
      </c>
      <c r="H22" s="114">
        <f>G22/G11</f>
        <v>4.7847809989833179E-2</v>
      </c>
      <c r="I22" s="66">
        <f t="shared" si="0"/>
        <v>-5.8616597593026884E-3</v>
      </c>
      <c r="J22" s="78" t="s">
        <v>45</v>
      </c>
      <c r="K22" s="81">
        <v>154</v>
      </c>
      <c r="L22" s="114">
        <f>K22/K13</f>
        <v>7.3431241655540717E-3</v>
      </c>
      <c r="M22" s="88">
        <v>194</v>
      </c>
      <c r="N22" s="114">
        <f>M22/M13</f>
        <v>9.3457943925233638E-3</v>
      </c>
      <c r="O22" s="88">
        <v>688</v>
      </c>
      <c r="P22" s="114">
        <f>O22/O13</f>
        <v>3.3639741834539411E-2</v>
      </c>
      <c r="Q22" s="83">
        <f t="shared" si="1"/>
        <v>-534</v>
      </c>
    </row>
    <row r="23" spans="2:17" x14ac:dyDescent="0.25">
      <c r="B23" s="80" t="s">
        <v>46</v>
      </c>
      <c r="C23" s="107">
        <v>-9996</v>
      </c>
      <c r="D23" s="114">
        <f>C23/C11</f>
        <v>-8.9664699233957049E-3</v>
      </c>
      <c r="E23" s="88">
        <v>-7452000</v>
      </c>
      <c r="F23" s="114">
        <f>E23/E11</f>
        <v>-7.1564115762543885E-3</v>
      </c>
      <c r="G23" s="88">
        <v>-5920000</v>
      </c>
      <c r="H23" s="114">
        <f>G23/G11</f>
        <v>-6.2891945900178155E-3</v>
      </c>
      <c r="I23" s="66">
        <f t="shared" si="0"/>
        <v>-2.6772753333778893E-3</v>
      </c>
      <c r="J23" s="78" t="s">
        <v>44</v>
      </c>
      <c r="K23" s="81">
        <v>-394</v>
      </c>
      <c r="L23" s="114">
        <f>K23/K13</f>
        <v>-1.8786954033950028E-2</v>
      </c>
      <c r="M23" s="88">
        <v>-340</v>
      </c>
      <c r="N23" s="114">
        <f>M23/M13</f>
        <v>-1.6379227285865692E-2</v>
      </c>
      <c r="O23" s="88">
        <v>-288</v>
      </c>
      <c r="P23" s="114">
        <f>O23/O13</f>
        <v>-1.4081752395853707E-2</v>
      </c>
      <c r="Q23" s="83">
        <f t="shared" si="1"/>
        <v>-106</v>
      </c>
    </row>
    <row r="24" spans="2:17" x14ac:dyDescent="0.25">
      <c r="B24" s="80" t="s">
        <v>47</v>
      </c>
      <c r="C24" s="107">
        <v>7188</v>
      </c>
      <c r="D24" s="114">
        <f>C24/C11</f>
        <v>6.4476776519976318E-3</v>
      </c>
      <c r="E24" s="88">
        <v>0</v>
      </c>
      <c r="F24" s="114">
        <f>E24/E11</f>
        <v>0</v>
      </c>
      <c r="G24" s="88">
        <v>0</v>
      </c>
      <c r="H24" s="114">
        <f>G24/G11</f>
        <v>0</v>
      </c>
      <c r="I24" s="66">
        <f t="shared" si="0"/>
        <v>6.4476776519976318E-3</v>
      </c>
      <c r="J24" s="78" t="s">
        <v>46</v>
      </c>
      <c r="K24" s="81">
        <v>26</v>
      </c>
      <c r="L24" s="114">
        <f>K24/K13</f>
        <v>1.2397482357428952E-3</v>
      </c>
      <c r="M24" s="88">
        <v>22</v>
      </c>
      <c r="N24" s="114">
        <f>M24/M13</f>
        <v>1.0598323537913093E-3</v>
      </c>
      <c r="O24" s="88">
        <v>38</v>
      </c>
      <c r="P24" s="114">
        <f>O24/O13</f>
        <v>1.8580089966751417E-3</v>
      </c>
      <c r="Q24" s="83">
        <f t="shared" si="1"/>
        <v>-12</v>
      </c>
    </row>
    <row r="25" spans="2:17" x14ac:dyDescent="0.25">
      <c r="B25" s="80" t="s">
        <v>48</v>
      </c>
      <c r="C25" s="107">
        <v>-4862</v>
      </c>
      <c r="D25" s="114">
        <f>C25/C11</f>
        <v>-4.3612421736244416E-3</v>
      </c>
      <c r="E25" s="88">
        <v>1437000</v>
      </c>
      <c r="F25" s="114">
        <f>E25/E11</f>
        <v>1.380000460960488E-3</v>
      </c>
      <c r="G25" s="88">
        <v>-3229000</v>
      </c>
      <c r="H25" s="114">
        <f>G25/G11</f>
        <v>-3.4303731978323525E-3</v>
      </c>
      <c r="I25" s="66">
        <f t="shared" si="0"/>
        <v>-9.3086897579208912E-4</v>
      </c>
      <c r="J25" s="78" t="s">
        <v>49</v>
      </c>
      <c r="K25" s="81">
        <v>13</v>
      </c>
      <c r="L25" s="114">
        <f>K25/K13</f>
        <v>6.198741178714476E-4</v>
      </c>
      <c r="M25" s="88">
        <v>103</v>
      </c>
      <c r="N25" s="114">
        <f>M25/M13</f>
        <v>4.9619423836593122E-3</v>
      </c>
      <c r="O25" s="88">
        <v>40</v>
      </c>
      <c r="P25" s="114">
        <f>O25/O13</f>
        <v>1.9557989438685705E-3</v>
      </c>
      <c r="Q25" s="83">
        <f t="shared" si="1"/>
        <v>-27</v>
      </c>
    </row>
    <row r="26" spans="2:17" x14ac:dyDescent="0.25">
      <c r="B26" s="80" t="s">
        <v>50</v>
      </c>
      <c r="C26" s="107">
        <v>9576</v>
      </c>
      <c r="D26" s="114">
        <f>C26/C11</f>
        <v>8.5897274896395825E-3</v>
      </c>
      <c r="E26" s="88">
        <v>5323000</v>
      </c>
      <c r="F26" s="114">
        <f>E26/E11</f>
        <v>5.1118597450888498E-3</v>
      </c>
      <c r="G26" s="88">
        <v>4546000</v>
      </c>
      <c r="H26" s="114">
        <f>G26/G11</f>
        <v>4.8295065213211129E-3</v>
      </c>
      <c r="I26" s="128">
        <f t="shared" si="0"/>
        <v>3.7602209683184696E-3</v>
      </c>
      <c r="J26" s="89" t="s">
        <v>51</v>
      </c>
      <c r="K26" s="81">
        <v>1599</v>
      </c>
      <c r="L26" s="114">
        <f>K26/K13</f>
        <v>7.6244516498188059E-2</v>
      </c>
      <c r="M26" s="88">
        <v>2345</v>
      </c>
      <c r="N26" s="114">
        <f>M26/M13</f>
        <v>0.11296849407457366</v>
      </c>
      <c r="O26" s="88">
        <v>2982</v>
      </c>
      <c r="P26" s="114">
        <f>O26/O13</f>
        <v>0.14580481126540193</v>
      </c>
      <c r="Q26" s="83">
        <f t="shared" si="1"/>
        <v>-1383</v>
      </c>
    </row>
    <row r="27" spans="2:17" x14ac:dyDescent="0.25">
      <c r="B27" s="80" t="s">
        <v>52</v>
      </c>
      <c r="C27" s="107">
        <v>48713</v>
      </c>
      <c r="D27" s="114">
        <f>C27/C11</f>
        <v>4.3695843275147556E-2</v>
      </c>
      <c r="E27" s="88">
        <v>45216000</v>
      </c>
      <c r="F27" s="114">
        <f>E27/E11</f>
        <v>4.3422477969930012E-2</v>
      </c>
      <c r="G27" s="88">
        <v>40436000</v>
      </c>
      <c r="H27" s="114">
        <f>G27/G11</f>
        <v>4.2957748723304122E-2</v>
      </c>
      <c r="I27" s="128">
        <f t="shared" si="0"/>
        <v>7.380945518434337E-4</v>
      </c>
      <c r="J27" s="78" t="s">
        <v>53</v>
      </c>
      <c r="K27" s="81">
        <v>-326</v>
      </c>
      <c r="L27" s="114">
        <f>K27/K13</f>
        <v>-1.5544535571237842E-2</v>
      </c>
      <c r="M27" s="88">
        <v>-438</v>
      </c>
      <c r="N27" s="114">
        <f>M27/M13</f>
        <v>-2.1100298680026979E-2</v>
      </c>
      <c r="O27" s="88">
        <v>-1523</v>
      </c>
      <c r="P27" s="114">
        <f>O27/O13</f>
        <v>-7.4467044787795811E-2</v>
      </c>
      <c r="Q27" s="83">
        <f t="shared" si="1"/>
        <v>1197</v>
      </c>
    </row>
    <row r="28" spans="2:17" x14ac:dyDescent="0.25">
      <c r="B28" s="80" t="s">
        <v>54</v>
      </c>
      <c r="C28" s="107">
        <v>269929</v>
      </c>
      <c r="D28" s="114">
        <f>C28/C11</f>
        <v>0.24212787714608636</v>
      </c>
      <c r="E28" s="88">
        <v>273258000</v>
      </c>
      <c r="F28" s="114">
        <f>E28/E11</f>
        <v>0.26241904381429437</v>
      </c>
      <c r="G28" s="88">
        <v>249217000</v>
      </c>
      <c r="H28" s="114">
        <f>G28/G11</f>
        <v>0.26475915678048478</v>
      </c>
      <c r="I28" s="128">
        <f t="shared" si="0"/>
        <v>-2.2631279634398427E-2</v>
      </c>
      <c r="J28" s="89" t="s">
        <v>55</v>
      </c>
      <c r="K28" s="81">
        <v>1273</v>
      </c>
      <c r="L28" s="114">
        <f>K28/K13</f>
        <v>6.0699980926950219E-2</v>
      </c>
      <c r="M28" s="88">
        <v>1907</v>
      </c>
      <c r="N28" s="114">
        <f>M28/M13</f>
        <v>9.1868195394546687E-2</v>
      </c>
      <c r="O28" s="88">
        <v>1459</v>
      </c>
      <c r="P28" s="114">
        <f>O28/O13</f>
        <v>7.1337766477606104E-2</v>
      </c>
      <c r="Q28" s="83">
        <f t="shared" si="1"/>
        <v>-186</v>
      </c>
    </row>
    <row r="29" spans="2:17" x14ac:dyDescent="0.25">
      <c r="B29" s="80" t="s">
        <v>56</v>
      </c>
      <c r="C29" s="107">
        <v>47051</v>
      </c>
      <c r="D29" s="114">
        <f>C29/C11</f>
        <v>4.2205019644426904E-2</v>
      </c>
      <c r="E29" s="88">
        <v>56903000</v>
      </c>
      <c r="F29" s="114">
        <f>E29/E11</f>
        <v>5.4645905518465307E-2</v>
      </c>
      <c r="G29" s="88">
        <v>126890000</v>
      </c>
      <c r="H29" s="114">
        <f>G29/G11</f>
        <v>0.13480336174448659</v>
      </c>
      <c r="I29" s="128">
        <f t="shared" si="0"/>
        <v>-9.2598342100059683E-2</v>
      </c>
      <c r="J29" s="89" t="s">
        <v>57</v>
      </c>
      <c r="K29" s="88"/>
      <c r="L29" s="115"/>
      <c r="M29" s="109"/>
      <c r="N29" s="115"/>
      <c r="O29" s="109"/>
      <c r="P29" s="115"/>
      <c r="Q29" s="83">
        <f t="shared" si="1"/>
        <v>0</v>
      </c>
    </row>
    <row r="30" spans="2:17" x14ac:dyDescent="0.25">
      <c r="B30" s="80" t="s">
        <v>58</v>
      </c>
      <c r="C30" s="107">
        <v>222878</v>
      </c>
      <c r="D30" s="114">
        <f>C30/C11</f>
        <v>0.19992285750165947</v>
      </c>
      <c r="E30" s="88">
        <v>216355000</v>
      </c>
      <c r="F30" s="114">
        <f>E30/E11</f>
        <v>0.20777313829582908</v>
      </c>
      <c r="G30" s="88">
        <v>122327000</v>
      </c>
      <c r="H30" s="114">
        <f>G30/G11</f>
        <v>0.12995579503599819</v>
      </c>
      <c r="I30" s="128">
        <f t="shared" si="0"/>
        <v>6.9967062465661284E-2</v>
      </c>
      <c r="J30" s="78" t="s">
        <v>59</v>
      </c>
      <c r="K30" s="110">
        <v>3.83</v>
      </c>
      <c r="L30" s="114">
        <f>K30/K13</f>
        <v>1.826244516498188E-4</v>
      </c>
      <c r="M30" s="109">
        <v>5.45</v>
      </c>
      <c r="N30" s="114">
        <f>M30/M13</f>
        <v>2.6254937855284711E-4</v>
      </c>
      <c r="O30" s="109">
        <v>3.89</v>
      </c>
      <c r="P30" s="114">
        <f>O30/O13</f>
        <v>1.9020144729121847E-4</v>
      </c>
      <c r="Q30" s="83">
        <f t="shared" si="1"/>
        <v>-6.0000000000000053E-2</v>
      </c>
    </row>
    <row r="31" spans="2:17" x14ac:dyDescent="0.25">
      <c r="B31" s="106" t="s">
        <v>60</v>
      </c>
      <c r="C31" s="107"/>
      <c r="D31" s="115"/>
      <c r="E31" s="88"/>
      <c r="F31" s="115"/>
      <c r="G31" s="88"/>
      <c r="H31" s="115"/>
      <c r="I31" s="128">
        <f t="shared" si="0"/>
        <v>0</v>
      </c>
      <c r="J31" s="78" t="s">
        <v>61</v>
      </c>
      <c r="K31" s="110">
        <v>3.8</v>
      </c>
      <c r="L31" s="114">
        <f>K31/K13</f>
        <v>1.8119397291626932E-4</v>
      </c>
      <c r="M31" s="109">
        <v>5.38</v>
      </c>
      <c r="N31" s="114">
        <f>M31/M13</f>
        <v>2.5917718469987473E-4</v>
      </c>
      <c r="O31" s="109">
        <v>3.84</v>
      </c>
      <c r="P31" s="114">
        <f>O31/O13</f>
        <v>1.8775669861138274E-4</v>
      </c>
      <c r="Q31" s="83">
        <f t="shared" si="1"/>
        <v>-4.0000000000000036E-2</v>
      </c>
    </row>
    <row r="32" spans="2:17" ht="30" x14ac:dyDescent="0.25">
      <c r="B32" s="80" t="s">
        <v>62</v>
      </c>
      <c r="C32" s="108">
        <v>4</v>
      </c>
      <c r="D32" s="117">
        <f>C32/C11</f>
        <v>3.5880231786297341E-6</v>
      </c>
      <c r="E32" s="109">
        <v>3.83</v>
      </c>
      <c r="F32" s="117">
        <f>E32/E11</f>
        <v>3.6780805605279536E-9</v>
      </c>
      <c r="G32" s="109">
        <v>2.16</v>
      </c>
      <c r="H32" s="117">
        <f>G32/G11</f>
        <v>2.2947061341956898E-9</v>
      </c>
      <c r="I32" s="66">
        <f t="shared" si="0"/>
        <v>3.5857284724955382E-6</v>
      </c>
    </row>
    <row r="33" spans="2:16" ht="30" x14ac:dyDescent="0.25">
      <c r="B33" s="80" t="s">
        <v>63</v>
      </c>
      <c r="C33" s="108">
        <v>3.98</v>
      </c>
      <c r="D33" s="117">
        <f>C33/C11</f>
        <v>3.5700830627365855E-6</v>
      </c>
      <c r="E33" s="109">
        <v>3.8</v>
      </c>
      <c r="F33" s="117">
        <f>E33/E11</f>
        <v>3.6492705300277344E-9</v>
      </c>
      <c r="G33" s="109">
        <v>2.15</v>
      </c>
      <c r="H33" s="117">
        <f>G33/G11</f>
        <v>2.2840824946855244E-9</v>
      </c>
      <c r="I33" s="66">
        <f t="shared" si="0"/>
        <v>3.5677989802419E-6</v>
      </c>
    </row>
    <row r="37" spans="2:16" x14ac:dyDescent="0.25">
      <c r="B37" t="s">
        <v>64</v>
      </c>
    </row>
    <row r="39" spans="2:16" s="17" customFormat="1" x14ac:dyDescent="0.25">
      <c r="B39" s="17" t="s">
        <v>65</v>
      </c>
      <c r="D39" s="116"/>
      <c r="F39" s="116"/>
      <c r="H39" s="116"/>
      <c r="L39" s="116"/>
      <c r="N39" s="116"/>
      <c r="O39" s="111"/>
      <c r="P39" s="116"/>
    </row>
    <row r="40" spans="2:16" x14ac:dyDescent="0.25">
      <c r="B40" t="s">
        <v>66</v>
      </c>
    </row>
    <row r="41" spans="2:16" ht="326.25" customHeight="1" x14ac:dyDescent="0.25">
      <c r="B41" s="77" t="s">
        <v>67</v>
      </c>
    </row>
    <row r="44" spans="2:16" s="17" customFormat="1" x14ac:dyDescent="0.25">
      <c r="B44" s="17" t="s">
        <v>68</v>
      </c>
      <c r="D44" s="116"/>
      <c r="F44" s="116"/>
      <c r="H44" s="116"/>
      <c r="L44" s="116"/>
      <c r="N44" s="116"/>
      <c r="O44" s="111"/>
      <c r="P44" s="116"/>
    </row>
    <row r="45" spans="2:16" ht="252.75" customHeight="1" x14ac:dyDescent="0.25">
      <c r="B45" s="77" t="s">
        <v>69</v>
      </c>
    </row>
    <row r="49" spans="2:16" s="17" customFormat="1" x14ac:dyDescent="0.25">
      <c r="B49" s="17" t="s">
        <v>70</v>
      </c>
      <c r="D49" s="116"/>
      <c r="F49" s="116"/>
      <c r="H49" s="116"/>
      <c r="L49" s="116"/>
      <c r="N49" s="116"/>
      <c r="O49" s="111"/>
      <c r="P49" s="116"/>
    </row>
    <row r="50" spans="2:16" ht="409.5" x14ac:dyDescent="0.25">
      <c r="B50" s="77" t="s">
        <v>71</v>
      </c>
    </row>
  </sheetData>
  <mergeCells count="3">
    <mergeCell ref="C2:H2"/>
    <mergeCell ref="J2:J3"/>
    <mergeCell ref="K2:P2"/>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6"/>
  <sheetViews>
    <sheetView topLeftCell="A38" workbookViewId="0">
      <selection activeCell="I39" sqref="I39"/>
    </sheetView>
  </sheetViews>
  <sheetFormatPr defaultColWidth="8.85546875" defaultRowHeight="15" x14ac:dyDescent="0.25"/>
  <cols>
    <col min="2" max="2" width="46.85546875" bestFit="1" customWidth="1"/>
    <col min="3" max="3" width="14.28515625" bestFit="1" customWidth="1"/>
    <col min="4" max="4" width="15.7109375" bestFit="1" customWidth="1"/>
    <col min="5" max="5" width="14.28515625" bestFit="1" customWidth="1"/>
    <col min="6" max="6" width="15.7109375" bestFit="1" customWidth="1"/>
    <col min="8" max="8" width="44.28515625" bestFit="1" customWidth="1"/>
    <col min="9" max="9" width="12.140625" bestFit="1" customWidth="1"/>
    <col min="10" max="10" width="15.7109375" bestFit="1" customWidth="1"/>
    <col min="11" max="11" width="12.140625" bestFit="1" customWidth="1"/>
    <col min="12" max="12" width="15.7109375" bestFit="1" customWidth="1"/>
  </cols>
  <sheetData>
    <row r="1" spans="2:12" x14ac:dyDescent="0.25">
      <c r="B1" s="103"/>
    </row>
    <row r="2" spans="2:12" x14ac:dyDescent="0.25">
      <c r="B2" s="22" t="s">
        <v>72</v>
      </c>
      <c r="C2" s="145" t="s">
        <v>3</v>
      </c>
      <c r="D2" s="145"/>
      <c r="E2" s="145"/>
      <c r="F2" s="145"/>
      <c r="H2" s="22" t="s">
        <v>72</v>
      </c>
      <c r="I2" s="145" t="s">
        <v>3</v>
      </c>
      <c r="J2" s="145"/>
      <c r="K2" s="145"/>
      <c r="L2" s="145"/>
    </row>
    <row r="3" spans="2:12" x14ac:dyDescent="0.25">
      <c r="B3" s="144" t="s">
        <v>73</v>
      </c>
      <c r="C3" s="18" t="s">
        <v>6</v>
      </c>
      <c r="D3" s="19" t="s">
        <v>74</v>
      </c>
      <c r="E3" s="18" t="s">
        <v>8</v>
      </c>
      <c r="F3" s="19" t="s">
        <v>74</v>
      </c>
      <c r="H3" s="144" t="s">
        <v>75</v>
      </c>
      <c r="I3" s="18" t="s">
        <v>6</v>
      </c>
      <c r="J3" s="19" t="s">
        <v>74</v>
      </c>
      <c r="K3" s="18" t="s">
        <v>8</v>
      </c>
      <c r="L3" s="19" t="s">
        <v>74</v>
      </c>
    </row>
    <row r="4" spans="2:12" x14ac:dyDescent="0.25">
      <c r="B4" s="144"/>
      <c r="C4" s="19"/>
      <c r="D4" s="19"/>
      <c r="E4" s="19"/>
      <c r="F4" s="19"/>
      <c r="H4" s="144"/>
      <c r="I4" s="19"/>
      <c r="J4" s="19"/>
      <c r="K4" s="19"/>
      <c r="L4" s="19"/>
    </row>
    <row r="5" spans="2:12" x14ac:dyDescent="0.25">
      <c r="B5" s="137" t="s">
        <v>76</v>
      </c>
      <c r="C5" s="19"/>
      <c r="D5" s="19"/>
      <c r="E5" s="19"/>
      <c r="F5" s="19"/>
      <c r="H5" s="137" t="s">
        <v>76</v>
      </c>
      <c r="I5" s="19"/>
      <c r="J5" s="19"/>
      <c r="K5" s="19"/>
      <c r="L5" s="19"/>
    </row>
    <row r="6" spans="2:12" x14ac:dyDescent="0.25">
      <c r="B6" s="23" t="s">
        <v>77</v>
      </c>
      <c r="C6" s="48">
        <v>33766</v>
      </c>
      <c r="D6" s="25">
        <f>C6/C21</f>
        <v>2.4350387113895717E-2</v>
      </c>
      <c r="E6" s="20">
        <v>26642</v>
      </c>
      <c r="F6" s="25">
        <f>E6/E21</f>
        <v>2.3403638535801189E-2</v>
      </c>
      <c r="H6" s="54" t="s">
        <v>78</v>
      </c>
      <c r="I6" s="53">
        <v>225</v>
      </c>
      <c r="J6" s="25">
        <f>I6/I22</f>
        <v>8.9816773781485771E-3</v>
      </c>
      <c r="K6" s="20">
        <v>316</v>
      </c>
      <c r="L6" s="25">
        <f>K6/K22</f>
        <v>1.3335584064821066E-2</v>
      </c>
    </row>
    <row r="7" spans="2:12" ht="30" x14ac:dyDescent="0.25">
      <c r="B7" s="23" t="s">
        <v>79</v>
      </c>
      <c r="C7" s="48">
        <v>141566</v>
      </c>
      <c r="D7" s="25">
        <f>C7/C21</f>
        <v>0.10209047272895104</v>
      </c>
      <c r="E7" s="20">
        <v>138018</v>
      </c>
      <c r="F7" s="25">
        <f>E7/E21</f>
        <v>0.12124177552113988</v>
      </c>
      <c r="H7" s="54" t="s">
        <v>80</v>
      </c>
      <c r="I7" s="53">
        <v>2395</v>
      </c>
      <c r="J7" s="25">
        <f>I7/I22</f>
        <v>9.5604965869625969E-2</v>
      </c>
      <c r="K7" s="20">
        <v>2133</v>
      </c>
      <c r="L7" s="25">
        <f>K7/K22</f>
        <v>9.0015192437542205E-2</v>
      </c>
    </row>
    <row r="8" spans="2:12" x14ac:dyDescent="0.25">
      <c r="B8" s="23" t="s">
        <v>81</v>
      </c>
      <c r="C8" s="48">
        <v>11126</v>
      </c>
      <c r="D8" s="25">
        <f>C8/C21</f>
        <v>8.0235268325891049E-3</v>
      </c>
      <c r="E8" s="20">
        <v>10122</v>
      </c>
      <c r="F8" s="25">
        <f>E8/E21</f>
        <v>8.8916608835440149E-3</v>
      </c>
      <c r="H8" s="54" t="s">
        <v>82</v>
      </c>
      <c r="I8" s="53">
        <v>252</v>
      </c>
      <c r="J8" s="25">
        <f>I8/I22</f>
        <v>1.0059478663526406E-2</v>
      </c>
      <c r="K8" s="20">
        <v>249</v>
      </c>
      <c r="L8" s="25">
        <f>K8/K22</f>
        <v>1.050810263335584E-2</v>
      </c>
    </row>
    <row r="9" spans="2:12" x14ac:dyDescent="0.25">
      <c r="B9" s="23" t="s">
        <v>83</v>
      </c>
      <c r="C9" s="48">
        <v>25404</v>
      </c>
      <c r="D9" s="25">
        <f>C9/C21</f>
        <v>1.8320121845685208E-2</v>
      </c>
      <c r="E9" s="20">
        <v>36759</v>
      </c>
      <c r="F9" s="25">
        <f>E9/E21</f>
        <v>3.2290907174293067E-2</v>
      </c>
      <c r="H9" s="54" t="s">
        <v>84</v>
      </c>
      <c r="I9" s="53">
        <v>255</v>
      </c>
      <c r="J9" s="25">
        <f>I9/I22</f>
        <v>1.0179234361901721E-2</v>
      </c>
      <c r="K9" s="20">
        <v>8</v>
      </c>
      <c r="L9" s="25">
        <f>K9/K22</f>
        <v>3.3760972316002703E-4</v>
      </c>
    </row>
    <row r="10" spans="2:12" x14ac:dyDescent="0.25">
      <c r="B10" s="23" t="s">
        <v>85</v>
      </c>
      <c r="C10" s="48">
        <v>24727</v>
      </c>
      <c r="D10" s="25">
        <f>C10/C21</f>
        <v>1.7831902569605502E-2</v>
      </c>
      <c r="E10" s="20">
        <v>32243</v>
      </c>
      <c r="F10" s="25">
        <f>E10/E21</f>
        <v>2.8323831443203881E-2</v>
      </c>
      <c r="H10" s="55" t="s">
        <v>86</v>
      </c>
      <c r="I10" s="53">
        <v>3127</v>
      </c>
      <c r="J10" s="25">
        <f>I10/I22</f>
        <v>0.12482535627320267</v>
      </c>
      <c r="K10" s="20">
        <v>2706</v>
      </c>
      <c r="L10" s="25">
        <f>K10/K22</f>
        <v>0.11419648885887913</v>
      </c>
    </row>
    <row r="11" spans="2:12" x14ac:dyDescent="0.25">
      <c r="B11" s="137" t="s">
        <v>86</v>
      </c>
      <c r="C11" s="48">
        <v>236589</v>
      </c>
      <c r="D11" s="25">
        <f>C11/C21</f>
        <v>0.17061641109072656</v>
      </c>
      <c r="E11" s="20">
        <v>243784</v>
      </c>
      <c r="F11" s="25">
        <f>E11/E21</f>
        <v>0.21415181355798202</v>
      </c>
      <c r="H11" s="54" t="s">
        <v>87</v>
      </c>
      <c r="I11" s="53">
        <v>1904</v>
      </c>
      <c r="J11" s="25">
        <f>I11/I22</f>
        <v>7.6004949902199512E-2</v>
      </c>
      <c r="K11" s="20">
        <v>1956</v>
      </c>
      <c r="L11" s="25">
        <f>K11/K22</f>
        <v>8.25455773126266E-2</v>
      </c>
    </row>
    <row r="12" spans="2:12" x14ac:dyDescent="0.25">
      <c r="B12" s="91" t="s">
        <v>88</v>
      </c>
      <c r="C12" s="92">
        <v>351502</v>
      </c>
      <c r="D12" s="93">
        <f>C12/C21</f>
        <v>0.25348604428444504</v>
      </c>
      <c r="E12" s="94">
        <v>127535</v>
      </c>
      <c r="F12" s="93">
        <f>E12/E21</f>
        <v>0.11203299454483165</v>
      </c>
      <c r="H12" s="54" t="s">
        <v>89</v>
      </c>
      <c r="I12" s="53">
        <v>8641</v>
      </c>
      <c r="J12" s="25">
        <f>I12/I22</f>
        <v>0.34493632988703044</v>
      </c>
      <c r="K12" s="56">
        <v>8380</v>
      </c>
      <c r="L12" s="25">
        <f>K12/K22</f>
        <v>0.35364618501012829</v>
      </c>
    </row>
    <row r="13" spans="2:12" x14ac:dyDescent="0.25">
      <c r="B13" s="23" t="s">
        <v>90</v>
      </c>
      <c r="C13" s="48">
        <v>24088</v>
      </c>
      <c r="D13" s="25">
        <f>C13/C21</f>
        <v>1.7371087034280638E-2</v>
      </c>
      <c r="E13" s="20">
        <v>0</v>
      </c>
      <c r="F13" s="25">
        <f>E13/E21</f>
        <v>0</v>
      </c>
      <c r="H13" s="54" t="s">
        <v>91</v>
      </c>
      <c r="I13" s="53">
        <v>5954</v>
      </c>
      <c r="J13" s="25">
        <f>I13/I22</f>
        <v>0.23767514270887391</v>
      </c>
      <c r="K13" s="20">
        <v>5790</v>
      </c>
      <c r="L13" s="25">
        <f>K13/K22</f>
        <v>0.24434503713706954</v>
      </c>
    </row>
    <row r="14" spans="2:12" x14ac:dyDescent="0.25">
      <c r="B14" s="23" t="s">
        <v>92</v>
      </c>
      <c r="C14" s="48">
        <v>159196</v>
      </c>
      <c r="D14" s="25">
        <f>C14/C21</f>
        <v>0.11480436613705332</v>
      </c>
      <c r="E14" s="20">
        <v>168996</v>
      </c>
      <c r="F14" s="25">
        <f>E14/E21</f>
        <v>0.14845436896615335</v>
      </c>
      <c r="H14" s="54" t="s">
        <v>93</v>
      </c>
      <c r="I14" s="53">
        <v>2687</v>
      </c>
      <c r="J14" s="25">
        <f>I14/I22</f>
        <v>0.10726118717815657</v>
      </c>
      <c r="K14" s="20">
        <v>2590</v>
      </c>
      <c r="L14" s="25">
        <f>K14/K22</f>
        <v>0.10930114787305874</v>
      </c>
    </row>
    <row r="15" spans="2:12" x14ac:dyDescent="0.25">
      <c r="B15" s="23" t="s">
        <v>94</v>
      </c>
      <c r="C15" s="48">
        <v>290421</v>
      </c>
      <c r="D15" s="25">
        <f>C15/C21</f>
        <v>0.20943741562532453</v>
      </c>
      <c r="E15" s="20">
        <v>271188</v>
      </c>
      <c r="F15" s="25">
        <f>E15/E21</f>
        <v>0.23822483023972874</v>
      </c>
      <c r="H15" s="54" t="s">
        <v>92</v>
      </c>
      <c r="I15" s="53">
        <v>9048</v>
      </c>
      <c r="J15" s="25">
        <f>I15/I22</f>
        <v>0.36118318629994811</v>
      </c>
      <c r="K15" s="20">
        <v>9039</v>
      </c>
      <c r="L15" s="25">
        <f>K15/K22</f>
        <v>0.38145678595543553</v>
      </c>
    </row>
    <row r="16" spans="2:12" x14ac:dyDescent="0.25">
      <c r="B16" s="23" t="s">
        <v>83</v>
      </c>
      <c r="C16" s="48">
        <v>103054</v>
      </c>
      <c r="D16" s="25">
        <f>C16/C21</f>
        <v>7.4317502624989901E-2</v>
      </c>
      <c r="E16" s="20">
        <v>83440</v>
      </c>
      <c r="F16" s="25">
        <f>E16/E21</f>
        <v>7.3297785430044712E-2</v>
      </c>
      <c r="H16" s="57" t="s">
        <v>95</v>
      </c>
      <c r="I16" s="53">
        <v>17689</v>
      </c>
      <c r="J16" s="25">
        <f>I16/I22</f>
        <v>0.70611951618697855</v>
      </c>
      <c r="K16" s="20">
        <v>17419</v>
      </c>
      <c r="L16" s="25">
        <f>K16/K22</f>
        <v>0.73510297096556376</v>
      </c>
    </row>
    <row r="17" spans="2:12" x14ac:dyDescent="0.25">
      <c r="B17" s="23" t="s">
        <v>96</v>
      </c>
      <c r="C17" s="48">
        <v>24978</v>
      </c>
      <c r="D17" s="25">
        <f>C17/C21</f>
        <v>1.8012911488801967E-2</v>
      </c>
      <c r="E17" s="20">
        <v>19398</v>
      </c>
      <c r="F17" s="25">
        <f>E17/E21</f>
        <v>1.7040153904266626E-2</v>
      </c>
      <c r="H17" s="54" t="s">
        <v>97</v>
      </c>
      <c r="I17" s="53">
        <v>577</v>
      </c>
      <c r="J17" s="25">
        <f>I17/I22</f>
        <v>2.3033012654185461E-2</v>
      </c>
      <c r="K17" s="20">
        <v>732</v>
      </c>
      <c r="L17" s="25">
        <f>K17/K22</f>
        <v>3.0891289669142473E-2</v>
      </c>
    </row>
    <row r="18" spans="2:12" x14ac:dyDescent="0.25">
      <c r="B18" s="23" t="s">
        <v>98</v>
      </c>
      <c r="C18" s="48">
        <v>78655</v>
      </c>
      <c r="D18" s="25">
        <f>C18/C21</f>
        <v>5.6722137607163048E-2</v>
      </c>
      <c r="E18" s="20">
        <v>109016</v>
      </c>
      <c r="F18" s="25">
        <f>E18/E21</f>
        <v>9.5764997320730516E-2</v>
      </c>
      <c r="H18" s="54" t="s">
        <v>99</v>
      </c>
      <c r="I18" s="53">
        <v>117</v>
      </c>
      <c r="J18" s="25">
        <f>I18/I22</f>
        <v>4.6704722366372603E-3</v>
      </c>
      <c r="K18" s="20">
        <v>125</v>
      </c>
      <c r="L18" s="25">
        <f>K18/K22</f>
        <v>5.2751519243754222E-3</v>
      </c>
    </row>
    <row r="19" spans="2:12" x14ac:dyDescent="0.25">
      <c r="B19" s="23" t="s">
        <v>100</v>
      </c>
      <c r="C19" s="48">
        <v>20747</v>
      </c>
      <c r="D19" s="25">
        <f>C19/C21</f>
        <v>1.4961721301071918E-2</v>
      </c>
      <c r="E19" s="20">
        <v>30613</v>
      </c>
      <c r="F19" s="25">
        <f>E19/E21</f>
        <v>2.6891959556207559E-2</v>
      </c>
      <c r="H19" s="54" t="s">
        <v>101</v>
      </c>
      <c r="I19" s="53">
        <v>154</v>
      </c>
      <c r="J19" s="25">
        <f>I19/I22</f>
        <v>6.1474591832661367E-3</v>
      </c>
      <c r="K19" s="20">
        <v>171</v>
      </c>
      <c r="L19" s="25">
        <f>K19/K22</f>
        <v>7.216407832545577E-3</v>
      </c>
    </row>
    <row r="20" spans="2:12" x14ac:dyDescent="0.25">
      <c r="B20" s="23" t="s">
        <v>102</v>
      </c>
      <c r="C20" s="48">
        <v>97442</v>
      </c>
      <c r="D20" s="25">
        <f>C20/C21</f>
        <v>7.0270402806143051E-2</v>
      </c>
      <c r="E20" s="20">
        <v>84400</v>
      </c>
      <c r="F20" s="25">
        <f>E20/E21</f>
        <v>7.4141096480054819E-2</v>
      </c>
      <c r="H20" s="57" t="s">
        <v>103</v>
      </c>
      <c r="I20" s="53">
        <v>888</v>
      </c>
      <c r="J20" s="25">
        <f>I20/I22</f>
        <v>3.5447686719093048E-2</v>
      </c>
      <c r="K20" s="20">
        <v>0</v>
      </c>
      <c r="L20" s="25">
        <f>K20/K22</f>
        <v>0</v>
      </c>
    </row>
    <row r="21" spans="2:12" x14ac:dyDescent="0.25">
      <c r="B21" s="137" t="s">
        <v>104</v>
      </c>
      <c r="C21" s="48">
        <v>1386672</v>
      </c>
      <c r="D21" s="25">
        <f>SUM(D11:D20)</f>
        <v>1</v>
      </c>
      <c r="E21" s="20">
        <v>1138370</v>
      </c>
      <c r="F21" s="25">
        <f>SUM(F11:F20)</f>
        <v>1</v>
      </c>
      <c r="H21" s="54" t="s">
        <v>105</v>
      </c>
      <c r="I21" s="53">
        <v>595</v>
      </c>
      <c r="J21" s="25">
        <f>I21/I22</f>
        <v>2.3751546844437348E-2</v>
      </c>
      <c r="K21" s="20">
        <v>587</v>
      </c>
      <c r="L21" s="25">
        <f>K21/K22</f>
        <v>2.4772113436866982E-2</v>
      </c>
    </row>
    <row r="22" spans="2:12" x14ac:dyDescent="0.25">
      <c r="B22" s="137" t="s">
        <v>106</v>
      </c>
      <c r="C22" s="20"/>
      <c r="D22" s="20"/>
      <c r="E22" s="20"/>
      <c r="F22" s="20"/>
      <c r="H22" s="55" t="s">
        <v>104</v>
      </c>
      <c r="I22" s="53">
        <v>25051</v>
      </c>
      <c r="J22" s="25"/>
      <c r="K22" s="20">
        <v>23696</v>
      </c>
      <c r="L22" s="25"/>
    </row>
    <row r="23" spans="2:12" x14ac:dyDescent="0.25">
      <c r="B23" s="23" t="s">
        <v>107</v>
      </c>
      <c r="C23" s="48">
        <v>73449</v>
      </c>
      <c r="D23" s="25">
        <f>C23/C21</f>
        <v>5.2967825123749521E-2</v>
      </c>
      <c r="E23" s="20">
        <v>73511</v>
      </c>
      <c r="F23" s="25">
        <f>E23/E21</f>
        <v>6.4575665205513152E-2</v>
      </c>
      <c r="H23" s="58" t="s">
        <v>106</v>
      </c>
      <c r="I23" s="20"/>
      <c r="J23" s="20"/>
      <c r="K23" s="20"/>
      <c r="L23" s="20"/>
    </row>
    <row r="24" spans="2:12" x14ac:dyDescent="0.25">
      <c r="B24" s="23" t="s">
        <v>108</v>
      </c>
      <c r="C24" s="48">
        <v>90364</v>
      </c>
      <c r="D24" s="25">
        <f>C24/C21</f>
        <v>6.5166095515017244E-2</v>
      </c>
      <c r="E24" s="20">
        <v>92651</v>
      </c>
      <c r="F24" s="25">
        <f>E24/E21</f>
        <v>8.1389179265089553E-2</v>
      </c>
      <c r="H24" s="54" t="s">
        <v>109</v>
      </c>
      <c r="I24" s="53">
        <v>977</v>
      </c>
      <c r="J24" s="25">
        <f>I24/I22</f>
        <v>3.9000439104227375E-2</v>
      </c>
      <c r="K24" s="20">
        <v>833</v>
      </c>
      <c r="L24" s="61">
        <f>K24/K22</f>
        <v>3.5153612424037813E-2</v>
      </c>
    </row>
    <row r="25" spans="2:12" x14ac:dyDescent="0.25">
      <c r="B25" s="23" t="s">
        <v>110</v>
      </c>
      <c r="C25" s="48">
        <v>71594</v>
      </c>
      <c r="D25" s="25">
        <f>C25/C21</f>
        <v>5.1630089884269675E-2</v>
      </c>
      <c r="E25" s="20">
        <v>67614</v>
      </c>
      <c r="F25" s="25">
        <f>E25/E21</f>
        <v>5.9395451391024007E-2</v>
      </c>
      <c r="H25" s="54" t="s">
        <v>107</v>
      </c>
      <c r="I25" s="53">
        <v>720</v>
      </c>
      <c r="J25" s="25">
        <f>I25/I22</f>
        <v>2.8741367610075445E-2</v>
      </c>
      <c r="K25" s="20">
        <v>767</v>
      </c>
      <c r="L25" s="25">
        <f>K25/K22</f>
        <v>3.2368332207967587E-2</v>
      </c>
    </row>
    <row r="26" spans="2:12" x14ac:dyDescent="0.25">
      <c r="B26" s="23" t="s">
        <v>111</v>
      </c>
      <c r="C26" s="48">
        <v>82970</v>
      </c>
      <c r="D26" s="25">
        <f>C26/C21</f>
        <v>5.9833904484982749E-2</v>
      </c>
      <c r="E26" s="20">
        <v>83566</v>
      </c>
      <c r="F26" s="25">
        <f>E26/E21</f>
        <v>7.3408470005358537E-2</v>
      </c>
      <c r="H26" s="54" t="s">
        <v>112</v>
      </c>
      <c r="I26" s="53">
        <v>1339</v>
      </c>
      <c r="J26" s="25">
        <f>I26/I22</f>
        <v>5.3450960041515311E-2</v>
      </c>
      <c r="K26" s="20">
        <v>1345</v>
      </c>
      <c r="L26" s="25">
        <f>K26/K22</f>
        <v>5.6760634706279539E-2</v>
      </c>
    </row>
    <row r="27" spans="2:12" x14ac:dyDescent="0.25">
      <c r="B27" s="23" t="s">
        <v>109</v>
      </c>
      <c r="C27" s="48">
        <v>7511</v>
      </c>
      <c r="D27" s="25">
        <f>C27/C21</f>
        <v>5.4165657055165175E-3</v>
      </c>
      <c r="E27" s="20">
        <v>1097</v>
      </c>
      <c r="F27" s="25">
        <f>E27/E21</f>
        <v>9.6365856443862718E-4</v>
      </c>
      <c r="H27" s="54" t="s">
        <v>111</v>
      </c>
      <c r="I27" s="53">
        <v>2258</v>
      </c>
      <c r="J27" s="25">
        <f>I27/I22</f>
        <v>9.0136122310486608E-2</v>
      </c>
      <c r="K27" s="20">
        <v>2529</v>
      </c>
      <c r="L27" s="25">
        <f>K27/K22</f>
        <v>0.10672687373396354</v>
      </c>
    </row>
    <row r="28" spans="2:12" x14ac:dyDescent="0.25">
      <c r="B28" s="137" t="s">
        <v>113</v>
      </c>
      <c r="C28" s="48">
        <v>325888</v>
      </c>
      <c r="D28" s="25">
        <f>C28/C21</f>
        <v>0.23501448071353573</v>
      </c>
      <c r="E28" s="20">
        <v>318439</v>
      </c>
      <c r="F28" s="25">
        <f>E28/E21</f>
        <v>0.27973242443142388</v>
      </c>
      <c r="H28" s="54" t="s">
        <v>114</v>
      </c>
      <c r="I28" s="53">
        <v>1383</v>
      </c>
      <c r="J28" s="25">
        <f>I28/I22</f>
        <v>5.5207376951019918E-2</v>
      </c>
      <c r="K28" s="20">
        <v>963</v>
      </c>
      <c r="L28" s="25">
        <f>K28/K22</f>
        <v>4.0639770425388251E-2</v>
      </c>
    </row>
    <row r="29" spans="2:12" x14ac:dyDescent="0.25">
      <c r="B29" s="23" t="s">
        <v>115</v>
      </c>
      <c r="C29" s="48">
        <v>844102</v>
      </c>
      <c r="D29" s="25">
        <f>C29/C21</f>
        <v>0.60872506259591308</v>
      </c>
      <c r="E29" s="20">
        <v>753514</v>
      </c>
      <c r="F29" s="25">
        <f>E29/E21</f>
        <v>0.66192362764303347</v>
      </c>
      <c r="H29" s="55" t="s">
        <v>113</v>
      </c>
      <c r="I29" s="53">
        <v>6677</v>
      </c>
      <c r="J29" s="25">
        <f>I29/I22</f>
        <v>0.26653626601732466</v>
      </c>
      <c r="K29" s="20">
        <v>6437</v>
      </c>
      <c r="L29" s="25">
        <f>K29/K22</f>
        <v>0.2716492234976367</v>
      </c>
    </row>
    <row r="30" spans="2:12" x14ac:dyDescent="0.25">
      <c r="B30" s="23" t="s">
        <v>116</v>
      </c>
      <c r="C30" s="48">
        <v>112662</v>
      </c>
      <c r="D30" s="25">
        <f>C30/C21</f>
        <v>8.1246322129530271E-2</v>
      </c>
      <c r="E30" s="20">
        <v>110278</v>
      </c>
      <c r="F30" s="25">
        <f>E30/E21</f>
        <v>9.6873599971889629E-2</v>
      </c>
      <c r="H30" s="54" t="s">
        <v>115</v>
      </c>
      <c r="I30" s="53">
        <v>9963</v>
      </c>
      <c r="J30" s="25">
        <f>I30/I22</f>
        <v>0.39770867430441897</v>
      </c>
      <c r="K30" s="20">
        <v>8514</v>
      </c>
      <c r="L30" s="25">
        <f>K30/K22</f>
        <v>0.35930114787305872</v>
      </c>
    </row>
    <row r="31" spans="2:12" ht="30" x14ac:dyDescent="0.25">
      <c r="B31" s="23" t="s">
        <v>117</v>
      </c>
      <c r="C31" s="48">
        <v>29949</v>
      </c>
      <c r="D31" s="25">
        <f>C31/C21</f>
        <v>2.1597753470178963E-2</v>
      </c>
      <c r="E31" s="20">
        <v>24212</v>
      </c>
      <c r="F31" s="25">
        <f>E31/E21</f>
        <v>2.1269007440463117E-2</v>
      </c>
      <c r="H31" s="54" t="s">
        <v>111</v>
      </c>
      <c r="I31" s="53">
        <v>3460</v>
      </c>
      <c r="J31" s="25">
        <f>I31/I22</f>
        <v>0.13811823879286256</v>
      </c>
      <c r="K31" s="20">
        <v>2932</v>
      </c>
      <c r="L31" s="25">
        <f>K31/K22</f>
        <v>0.1237339635381499</v>
      </c>
    </row>
    <row r="32" spans="2:12" x14ac:dyDescent="0.25">
      <c r="B32" s="23" t="s">
        <v>118</v>
      </c>
      <c r="C32" s="48">
        <v>26147</v>
      </c>
      <c r="D32" s="25">
        <f>C32/C21</f>
        <v>1.8855937092549645E-2</v>
      </c>
      <c r="E32" s="20">
        <v>26276</v>
      </c>
      <c r="F32" s="25">
        <f>E32/E21</f>
        <v>2.3082126197984838E-2</v>
      </c>
      <c r="H32" s="54" t="s">
        <v>119</v>
      </c>
      <c r="I32" s="53">
        <v>290</v>
      </c>
      <c r="J32" s="25">
        <f>I32/I22</f>
        <v>1.1576384176280388E-2</v>
      </c>
      <c r="K32" s="20">
        <v>485</v>
      </c>
      <c r="L32" s="25">
        <f>K32/K22</f>
        <v>2.0467589466576636E-2</v>
      </c>
    </row>
    <row r="33" spans="2:12" x14ac:dyDescent="0.25">
      <c r="B33" s="23" t="s">
        <v>120</v>
      </c>
      <c r="C33" s="48">
        <v>21270</v>
      </c>
      <c r="D33" s="25">
        <f>C33/C21</f>
        <v>1.5338883311987262E-2</v>
      </c>
      <c r="E33" s="20"/>
      <c r="F33" s="25">
        <f>E33/E21</f>
        <v>0</v>
      </c>
      <c r="H33" s="54" t="s">
        <v>121</v>
      </c>
      <c r="I33" s="53">
        <v>840</v>
      </c>
      <c r="J33" s="25">
        <f>I33/I22</f>
        <v>3.3531595545088021E-2</v>
      </c>
      <c r="K33" s="20">
        <v>731</v>
      </c>
      <c r="L33" s="25">
        <f>K33/K22</f>
        <v>3.0849088453747467E-2</v>
      </c>
    </row>
    <row r="34" spans="2:12" x14ac:dyDescent="0.25">
      <c r="B34" s="23" t="s">
        <v>111</v>
      </c>
      <c r="C34" s="48">
        <v>46698</v>
      </c>
      <c r="D34" s="25">
        <f>C34/C21</f>
        <v>3.367631278341237E-2</v>
      </c>
      <c r="E34" s="20">
        <v>52327</v>
      </c>
      <c r="F34" s="25">
        <f>E34/E21</f>
        <v>4.5966601368623558E-2</v>
      </c>
      <c r="H34" s="54" t="s">
        <v>122</v>
      </c>
      <c r="I34" s="53">
        <v>2236</v>
      </c>
      <c r="J34" s="25">
        <f>I34/I22</f>
        <v>8.9257913855734297E-2</v>
      </c>
      <c r="K34" s="20">
        <v>2372</v>
      </c>
      <c r="L34" s="25">
        <f>K34/K22</f>
        <v>0.100101282916948</v>
      </c>
    </row>
    <row r="35" spans="2:12" x14ac:dyDescent="0.25">
      <c r="B35" s="23" t="s">
        <v>123</v>
      </c>
      <c r="C35" s="48">
        <v>3467</v>
      </c>
      <c r="D35" s="25">
        <f>C35/C21</f>
        <v>2.5002307683431985E-3</v>
      </c>
      <c r="E35" s="20">
        <v>37096</v>
      </c>
      <c r="F35" s="25">
        <f>E35/E21</f>
        <v>3.2586944490807034E-2</v>
      </c>
      <c r="H35" s="58" t="s">
        <v>124</v>
      </c>
      <c r="I35" s="20"/>
      <c r="J35" s="20"/>
      <c r="K35" s="20"/>
      <c r="L35" s="20"/>
    </row>
    <row r="36" spans="2:12" x14ac:dyDescent="0.25">
      <c r="B36" s="137" t="s">
        <v>125</v>
      </c>
      <c r="C36" s="48">
        <v>1410183</v>
      </c>
      <c r="D36" s="25">
        <f>C36/C21</f>
        <v>1.0169549828654505</v>
      </c>
      <c r="E36" s="20">
        <v>1322142</v>
      </c>
      <c r="F36" s="25">
        <f>E36/E21</f>
        <v>1.1614343315442255</v>
      </c>
      <c r="H36" s="54" t="s">
        <v>126</v>
      </c>
      <c r="I36" s="53">
        <v>5</v>
      </c>
      <c r="J36" s="25">
        <f>I36/I22</f>
        <v>1.9959283062552394E-4</v>
      </c>
      <c r="K36" s="20">
        <v>5</v>
      </c>
      <c r="L36" s="25">
        <f>K36/K22</f>
        <v>2.1100607697501687E-4</v>
      </c>
    </row>
    <row r="37" spans="2:12" x14ac:dyDescent="0.25">
      <c r="B37" s="137" t="s">
        <v>127</v>
      </c>
      <c r="C37" s="20"/>
      <c r="D37" s="20"/>
      <c r="E37" s="20"/>
      <c r="F37" s="20"/>
      <c r="H37" s="54" t="s">
        <v>128</v>
      </c>
      <c r="I37" s="53">
        <v>5800</v>
      </c>
      <c r="J37" s="25">
        <f>I37/I22</f>
        <v>0.23152768352560776</v>
      </c>
      <c r="K37" s="20">
        <v>5814</v>
      </c>
      <c r="L37" s="25">
        <f>K37/K22</f>
        <v>0.24535786630654963</v>
      </c>
    </row>
    <row r="38" spans="2:12" ht="75" x14ac:dyDescent="0.25">
      <c r="B38" s="23" t="s">
        <v>129</v>
      </c>
      <c r="C38" s="48">
        <v>951</v>
      </c>
      <c r="D38" s="25">
        <f>C38/C21</f>
        <v>6.8581466994357715E-4</v>
      </c>
      <c r="E38" s="20">
        <v>951</v>
      </c>
      <c r="F38" s="25">
        <f>E38/E21</f>
        <v>8.3540500891625749E-4</v>
      </c>
      <c r="H38" s="54" t="s">
        <v>130</v>
      </c>
      <c r="I38" s="53">
        <v>9644</v>
      </c>
      <c r="J38" s="25">
        <f>I38/I22</f>
        <v>0.38497465171051054</v>
      </c>
      <c r="K38" s="20">
        <v>8982</v>
      </c>
      <c r="L38" s="25">
        <f>K38/K22</f>
        <v>0.3790513166779203</v>
      </c>
    </row>
    <row r="39" spans="2:12" x14ac:dyDescent="0.25">
      <c r="B39" s="23" t="s">
        <v>128</v>
      </c>
      <c r="C39" s="48">
        <v>231160</v>
      </c>
      <c r="D39" s="25">
        <f>C39/C21</f>
        <v>0.16670128191814648</v>
      </c>
      <c r="E39" s="20">
        <v>213170</v>
      </c>
      <c r="F39" s="25">
        <f>E39/E21</f>
        <v>0.18725897555276405</v>
      </c>
      <c r="H39" s="54" t="s">
        <v>131</v>
      </c>
      <c r="I39" s="53">
        <v>-14385</v>
      </c>
      <c r="J39" s="25">
        <f>I39/I22</f>
        <v>-0.57422857370963232</v>
      </c>
      <c r="K39" s="20">
        <v>-12185</v>
      </c>
      <c r="L39" s="25">
        <f>K39/K22</f>
        <v>-0.51422180958811614</v>
      </c>
    </row>
    <row r="40" spans="2:12" x14ac:dyDescent="0.25">
      <c r="B40" s="23" t="s">
        <v>132</v>
      </c>
      <c r="C40" s="48">
        <v>-4550</v>
      </c>
      <c r="D40" s="25">
        <f>C40/C21</f>
        <v>-3.2812373798562313E-3</v>
      </c>
      <c r="E40" s="20">
        <v>-5446</v>
      </c>
      <c r="F40" s="25">
        <f>E40/E21</f>
        <v>-4.7840333107864756E-3</v>
      </c>
      <c r="H40" s="54" t="s">
        <v>132</v>
      </c>
      <c r="I40" s="53">
        <v>-361</v>
      </c>
      <c r="J40" s="25">
        <f>I40/I22</f>
        <v>-1.4410602371162828E-2</v>
      </c>
      <c r="K40" s="20">
        <v>-391</v>
      </c>
      <c r="L40" s="25">
        <f>K40/K22</f>
        <v>-1.6500675219446322E-2</v>
      </c>
    </row>
    <row r="41" spans="2:12" ht="45" x14ac:dyDescent="0.25">
      <c r="B41" s="23" t="s">
        <v>133</v>
      </c>
      <c r="C41" s="48">
        <v>-1219905</v>
      </c>
      <c r="D41" s="25">
        <f>C41/C21</f>
        <v>-0.87973579909308042</v>
      </c>
      <c r="E41" s="20">
        <v>-1187625</v>
      </c>
      <c r="F41" s="25">
        <f>E41/E21</f>
        <v>-1.0432680060085913</v>
      </c>
      <c r="H41" s="59" t="s">
        <v>134</v>
      </c>
      <c r="I41" s="53">
        <v>703</v>
      </c>
      <c r="J41" s="25">
        <f>I41/I22</f>
        <v>2.8062751985948663E-2</v>
      </c>
      <c r="K41" s="20">
        <v>2225</v>
      </c>
      <c r="L41" s="25">
        <f>K41/K22</f>
        <v>9.3897704253882511E-2</v>
      </c>
    </row>
    <row r="42" spans="2:12" x14ac:dyDescent="0.25">
      <c r="B42" s="23" t="s">
        <v>130</v>
      </c>
      <c r="C42" s="48">
        <v>968833</v>
      </c>
      <c r="D42" s="25">
        <f>C42/C21</f>
        <v>0.69867495701939608</v>
      </c>
      <c r="E42" s="20">
        <v>795178</v>
      </c>
      <c r="F42" s="25">
        <f>E42/E21</f>
        <v>0.69852332721347188</v>
      </c>
      <c r="H42" s="55" t="s">
        <v>135</v>
      </c>
      <c r="I42" s="53">
        <v>25051</v>
      </c>
      <c r="J42" s="25">
        <f>I42/I22</f>
        <v>1</v>
      </c>
      <c r="K42" s="20">
        <v>23696</v>
      </c>
      <c r="L42" s="25">
        <f>K42/K22</f>
        <v>1</v>
      </c>
    </row>
    <row r="43" spans="2:12" x14ac:dyDescent="0.25">
      <c r="B43" s="23" t="s">
        <v>136</v>
      </c>
      <c r="C43" s="48">
        <v>-23511</v>
      </c>
      <c r="D43" s="25">
        <f>C43/C21</f>
        <v>-1.6954982865450517E-2</v>
      </c>
      <c r="E43" s="20">
        <v>-183772</v>
      </c>
      <c r="F43" s="25">
        <f>E43/E21</f>
        <v>-0.16143433154422551</v>
      </c>
    </row>
    <row r="44" spans="2:12" x14ac:dyDescent="0.25">
      <c r="B44" s="137" t="s">
        <v>137</v>
      </c>
      <c r="C44" s="48">
        <v>1386672</v>
      </c>
      <c r="D44" s="25">
        <f>C44/C21</f>
        <v>1</v>
      </c>
      <c r="E44" s="20">
        <v>1138370</v>
      </c>
      <c r="F44" s="25">
        <f>E44/E21</f>
        <v>1</v>
      </c>
    </row>
    <row r="47" spans="2:12" x14ac:dyDescent="0.25">
      <c r="B47" t="s">
        <v>138</v>
      </c>
    </row>
    <row r="49" spans="2:2" x14ac:dyDescent="0.25">
      <c r="B49" t="s">
        <v>139</v>
      </c>
    </row>
    <row r="50" spans="2:2" ht="64.5" customHeight="1" x14ac:dyDescent="0.25"/>
    <row r="56" spans="2:2" x14ac:dyDescent="0.25">
      <c r="B56" t="s">
        <v>140</v>
      </c>
    </row>
    <row r="66" spans="2:2" x14ac:dyDescent="0.25">
      <c r="B66" t="s">
        <v>141</v>
      </c>
    </row>
  </sheetData>
  <mergeCells count="4">
    <mergeCell ref="I2:L2"/>
    <mergeCell ref="H3:H4"/>
    <mergeCell ref="C2:F2"/>
    <mergeCell ref="B3:B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83"/>
  <sheetViews>
    <sheetView tabSelected="1" topLeftCell="A68" workbookViewId="0">
      <selection activeCell="K69" sqref="K69"/>
    </sheetView>
  </sheetViews>
  <sheetFormatPr defaultColWidth="8.85546875" defaultRowHeight="15" x14ac:dyDescent="0.25"/>
  <cols>
    <col min="2" max="2" width="34.42578125" bestFit="1" customWidth="1"/>
    <col min="3" max="3" width="14.140625" customWidth="1"/>
    <col min="4" max="4" width="19.140625" bestFit="1" customWidth="1"/>
    <col min="5" max="5" width="14.42578125" customWidth="1"/>
    <col min="6" max="6" width="16.85546875" bestFit="1" customWidth="1"/>
    <col min="7" max="7" width="13.42578125" customWidth="1"/>
    <col min="8" max="8" width="16.85546875" bestFit="1" customWidth="1"/>
    <col min="9" max="9" width="31.42578125" bestFit="1" customWidth="1"/>
    <col min="11" max="11" width="62.7109375" style="104" bestFit="1" customWidth="1"/>
    <col min="12" max="12" width="12.140625" style="104" bestFit="1" customWidth="1"/>
    <col min="13" max="13" width="16.85546875" style="112" bestFit="1" customWidth="1"/>
    <col min="14" max="14" width="12.140625" style="104" bestFit="1" customWidth="1"/>
    <col min="15" max="15" width="16.85546875" style="112" bestFit="1" customWidth="1"/>
    <col min="16" max="16" width="12.140625" style="104" bestFit="1" customWidth="1"/>
    <col min="17" max="17" width="16.85546875" style="112" bestFit="1" customWidth="1"/>
    <col min="18" max="18" width="24" style="104" bestFit="1" customWidth="1"/>
  </cols>
  <sheetData>
    <row r="1" spans="2:18" x14ac:dyDescent="0.25">
      <c r="B1" s="103"/>
      <c r="C1" t="s">
        <v>0</v>
      </c>
      <c r="K1" s="104" t="s">
        <v>1</v>
      </c>
    </row>
    <row r="2" spans="2:18" x14ac:dyDescent="0.25">
      <c r="B2" s="27" t="s">
        <v>142</v>
      </c>
      <c r="C2" s="145" t="s">
        <v>3</v>
      </c>
      <c r="D2" s="145"/>
      <c r="E2" s="145"/>
      <c r="F2" s="145"/>
      <c r="G2" s="145"/>
      <c r="H2" s="145"/>
      <c r="K2" s="121" t="s">
        <v>142</v>
      </c>
      <c r="L2" s="145" t="s">
        <v>3</v>
      </c>
      <c r="M2" s="145"/>
      <c r="N2" s="145"/>
      <c r="O2" s="145"/>
      <c r="P2" s="145"/>
      <c r="Q2" s="145"/>
    </row>
    <row r="3" spans="2:18" x14ac:dyDescent="0.25">
      <c r="B3" s="28" t="s">
        <v>143</v>
      </c>
      <c r="C3" s="18" t="s">
        <v>6</v>
      </c>
      <c r="D3" s="19" t="s">
        <v>144</v>
      </c>
      <c r="E3" s="18" t="s">
        <v>8</v>
      </c>
      <c r="F3" s="19" t="s">
        <v>144</v>
      </c>
      <c r="G3" s="18" t="s">
        <v>9</v>
      </c>
      <c r="H3" s="54" t="s">
        <v>144</v>
      </c>
      <c r="I3" s="100" t="s">
        <v>145</v>
      </c>
      <c r="K3" s="122" t="s">
        <v>146</v>
      </c>
      <c r="L3" s="89" t="s">
        <v>6</v>
      </c>
      <c r="M3" s="113" t="s">
        <v>144</v>
      </c>
      <c r="N3" s="89" t="s">
        <v>8</v>
      </c>
      <c r="O3" s="113" t="s">
        <v>144</v>
      </c>
      <c r="P3" s="89" t="s">
        <v>9</v>
      </c>
      <c r="Q3" s="113" t="s">
        <v>144</v>
      </c>
    </row>
    <row r="4" spans="2:18" ht="30" x14ac:dyDescent="0.25">
      <c r="B4" s="29" t="s">
        <v>147</v>
      </c>
      <c r="C4" s="19"/>
      <c r="D4" s="19"/>
      <c r="E4" s="19"/>
      <c r="F4" s="19"/>
      <c r="G4" s="19"/>
      <c r="H4" s="19"/>
      <c r="I4" s="99"/>
      <c r="K4" s="89" t="s">
        <v>148</v>
      </c>
      <c r="L4" s="78"/>
      <c r="M4" s="113"/>
      <c r="N4" s="78"/>
      <c r="O4" s="113"/>
      <c r="P4" s="78"/>
      <c r="Q4" s="113"/>
    </row>
    <row r="5" spans="2:18" x14ac:dyDescent="0.25">
      <c r="B5" s="30" t="s">
        <v>58</v>
      </c>
      <c r="C5" s="53">
        <v>222878000</v>
      </c>
      <c r="D5" s="65">
        <f>C5/'Income Statement'!C11/1000</f>
        <v>0.19992285750165945</v>
      </c>
      <c r="E5" s="24">
        <v>216355000</v>
      </c>
      <c r="F5" s="25">
        <f>E5/'Income Statement'!E11</f>
        <v>0.20777313829582908</v>
      </c>
      <c r="G5" s="24">
        <v>122327000</v>
      </c>
      <c r="H5" s="25">
        <f>G5/'Income Statement'!G11</f>
        <v>0.12995579503599819</v>
      </c>
      <c r="I5" s="98">
        <f>C5+E5+G5</f>
        <v>561560000</v>
      </c>
      <c r="J5" s="66"/>
      <c r="K5" s="78" t="s">
        <v>58</v>
      </c>
      <c r="L5" s="79">
        <v>1273</v>
      </c>
      <c r="M5" s="114">
        <f>L5/'Income Statement'!K13</f>
        <v>6.0699980926950219E-2</v>
      </c>
      <c r="N5" s="88">
        <v>1907</v>
      </c>
      <c r="O5" s="114">
        <f>N5/'Income Statement'!M13</f>
        <v>9.1868195394546687E-2</v>
      </c>
      <c r="P5" s="88">
        <v>1459</v>
      </c>
      <c r="Q5" s="114">
        <f>P5/'Income Statement'!O13</f>
        <v>7.1337766477606104E-2</v>
      </c>
      <c r="R5" s="126"/>
    </row>
    <row r="6" spans="2:18" ht="32.1" customHeight="1" x14ac:dyDescent="0.25">
      <c r="B6" s="30" t="s">
        <v>149</v>
      </c>
      <c r="C6" s="19"/>
      <c r="D6" s="19"/>
      <c r="E6" s="19"/>
      <c r="F6" s="19"/>
      <c r="G6" s="19"/>
      <c r="H6" s="19"/>
      <c r="I6" s="98"/>
      <c r="J6" s="66"/>
      <c r="K6" s="78" t="s">
        <v>150</v>
      </c>
      <c r="L6" s="125"/>
      <c r="M6" s="115"/>
      <c r="N6" s="88"/>
      <c r="O6" s="115"/>
      <c r="P6" s="88"/>
      <c r="Q6" s="115"/>
      <c r="R6" s="126"/>
    </row>
    <row r="7" spans="2:18" x14ac:dyDescent="0.25">
      <c r="B7" s="30" t="s">
        <v>31</v>
      </c>
      <c r="C7" s="53">
        <v>18828000</v>
      </c>
      <c r="D7" s="65">
        <f>C7/'Income Statement'!C11/1000</f>
        <v>1.6888825101810161E-2</v>
      </c>
      <c r="E7" s="26">
        <v>14330000</v>
      </c>
      <c r="F7" s="25">
        <f>E7/'Income Statement'!E11</f>
        <v>1.3761591235604588E-2</v>
      </c>
      <c r="G7" s="26">
        <v>6680000</v>
      </c>
      <c r="H7" s="25">
        <f>G7/'Income Statement'!G11</f>
        <v>7.0965911927903733E-3</v>
      </c>
      <c r="I7" s="98">
        <f t="shared" ref="I7:I59" si="0">C7+E7+G7</f>
        <v>39838000</v>
      </c>
      <c r="J7" s="66"/>
      <c r="K7" s="78" t="s">
        <v>34</v>
      </c>
      <c r="L7" s="79">
        <v>403</v>
      </c>
      <c r="M7" s="114">
        <f>L7/'Income Statement'!K13</f>
        <v>1.9216097654014878E-2</v>
      </c>
      <c r="N7" s="88">
        <v>284</v>
      </c>
      <c r="O7" s="114">
        <f>N7/'Income Statement'!M13</f>
        <v>1.3681472203487812E-2</v>
      </c>
      <c r="P7" s="88">
        <v>279</v>
      </c>
      <c r="Q7" s="114">
        <f>P7/'Income Statement'!O13</f>
        <v>1.3641697633483277E-2</v>
      </c>
      <c r="R7" s="126"/>
    </row>
    <row r="8" spans="2:18" ht="30" x14ac:dyDescent="0.25">
      <c r="B8" s="30" t="s">
        <v>151</v>
      </c>
      <c r="C8" s="53">
        <v>17294000</v>
      </c>
      <c r="D8" s="65">
        <f>C8/'Income Statement'!C11/1000</f>
        <v>1.5512818212805654E-2</v>
      </c>
      <c r="E8" s="26">
        <v>19597000</v>
      </c>
      <c r="F8" s="25">
        <f>E8/'Income Statement'!E11</f>
        <v>1.881967225709303E-2</v>
      </c>
      <c r="G8" s="26">
        <v>20609000</v>
      </c>
      <c r="H8" s="25">
        <f>G8/'Income Statement'!G11</f>
        <v>2.1894258666499522E-2</v>
      </c>
      <c r="I8" s="98">
        <f t="shared" si="0"/>
        <v>57500000</v>
      </c>
      <c r="J8" s="66"/>
      <c r="K8" s="78" t="s">
        <v>152</v>
      </c>
      <c r="L8" s="79">
        <v>187</v>
      </c>
      <c r="M8" s="114">
        <f>L8/'Income Statement'!K13</f>
        <v>8.9166507724585155E-3</v>
      </c>
      <c r="N8" s="88">
        <v>184</v>
      </c>
      <c r="O8" s="114">
        <f>N8/'Income Statement'!M13</f>
        <v>8.8640524135273156E-3</v>
      </c>
      <c r="P8" s="88">
        <v>181</v>
      </c>
      <c r="Q8" s="114">
        <f>P8/'Income Statement'!O13</f>
        <v>8.8499902210052803E-3</v>
      </c>
      <c r="R8" s="126"/>
    </row>
    <row r="9" spans="2:18" ht="30" x14ac:dyDescent="0.25">
      <c r="B9" s="30" t="s">
        <v>153</v>
      </c>
      <c r="C9" s="53">
        <v>7992000</v>
      </c>
      <c r="D9" s="25">
        <f>C9/'Income Statement'!C11/1000</f>
        <v>7.1688703109022084E-3</v>
      </c>
      <c r="E9" s="26">
        <v>9239000</v>
      </c>
      <c r="F9" s="25">
        <f>E9/'Income Statement'!E11</f>
        <v>8.8725290597174312E-3</v>
      </c>
      <c r="G9" s="26">
        <v>7191000</v>
      </c>
      <c r="H9" s="25">
        <f>G9/'Income Statement'!G11</f>
        <v>7.6394591717598168E-3</v>
      </c>
      <c r="I9" s="98">
        <f t="shared" si="0"/>
        <v>24422000</v>
      </c>
      <c r="J9" s="66"/>
      <c r="K9" s="78" t="s">
        <v>56</v>
      </c>
      <c r="L9" s="79">
        <v>-200</v>
      </c>
      <c r="M9" s="114">
        <f>L9/'Income Statement'!K13</f>
        <v>-9.5365248903299636E-3</v>
      </c>
      <c r="N9" s="88">
        <v>-239</v>
      </c>
      <c r="O9" s="114">
        <f>N9/'Income Statement'!M13</f>
        <v>-1.1513633298005588E-2</v>
      </c>
      <c r="P9" s="88">
        <v>887</v>
      </c>
      <c r="Q9" s="114">
        <f>P9/'Income Statement'!O13</f>
        <v>4.3369841580285548E-2</v>
      </c>
      <c r="R9" s="126"/>
    </row>
    <row r="10" spans="2:18" x14ac:dyDescent="0.25">
      <c r="B10" s="30" t="s">
        <v>37</v>
      </c>
      <c r="C10" s="53">
        <v>3097000</v>
      </c>
      <c r="D10" s="65">
        <f>C10/'Income Statement'!C11/1000</f>
        <v>2.7780269460540717E-3</v>
      </c>
      <c r="E10" s="26">
        <v>4289000</v>
      </c>
      <c r="F10" s="25">
        <f>E10/'Income Statement'!E11</f>
        <v>4.118874027181303E-3</v>
      </c>
      <c r="G10" s="19">
        <v>0</v>
      </c>
      <c r="H10" s="25">
        <f>G10/'Income Statement'!G11</f>
        <v>0</v>
      </c>
      <c r="I10" s="98">
        <f t="shared" si="0"/>
        <v>7386000</v>
      </c>
      <c r="J10" s="66"/>
      <c r="K10" s="78" t="s">
        <v>111</v>
      </c>
      <c r="L10" s="79">
        <v>257</v>
      </c>
      <c r="M10" s="114">
        <f>L10/'Income Statement'!K13</f>
        <v>1.2254434484074003E-2</v>
      </c>
      <c r="N10" s="88">
        <v>520</v>
      </c>
      <c r="O10" s="114">
        <f>N10/'Income Statement'!M13</f>
        <v>2.5050582907794584E-2</v>
      </c>
      <c r="P10" s="88">
        <v>298</v>
      </c>
      <c r="Q10" s="114">
        <f>P10/'Income Statement'!O13</f>
        <v>1.4570702131820849E-2</v>
      </c>
      <c r="R10" s="126"/>
    </row>
    <row r="11" spans="2:18" x14ac:dyDescent="0.25">
      <c r="B11" s="60" t="s">
        <v>154</v>
      </c>
      <c r="C11" s="53">
        <v>7259000</v>
      </c>
      <c r="D11" s="25">
        <f>C11/'Income Statement'!C11/1000</f>
        <v>6.5113650634183095E-3</v>
      </c>
      <c r="E11" s="26">
        <v>0</v>
      </c>
      <c r="F11" s="25">
        <f>E11/'Income Statement'!E11</f>
        <v>0</v>
      </c>
      <c r="G11" s="19">
        <v>0</v>
      </c>
      <c r="H11" s="25"/>
      <c r="I11" s="98">
        <f t="shared" si="0"/>
        <v>7259000</v>
      </c>
      <c r="J11" s="66"/>
      <c r="K11" s="78" t="s">
        <v>155</v>
      </c>
      <c r="L11" s="79">
        <v>-195</v>
      </c>
      <c r="M11" s="114">
        <f>L11/'Income Statement'!K13</f>
        <v>-9.2981117680717151E-3</v>
      </c>
      <c r="N11" s="88">
        <v>-152</v>
      </c>
      <c r="O11" s="114">
        <f>N11/'Income Statement'!M13</f>
        <v>-7.3224780807399558E-3</v>
      </c>
      <c r="P11" s="88">
        <v>-185</v>
      </c>
      <c r="Q11" s="114">
        <f>P11/'Income Statement'!O13</f>
        <v>-9.0455701153921379E-3</v>
      </c>
      <c r="R11" s="126"/>
    </row>
    <row r="12" spans="2:18" x14ac:dyDescent="0.25">
      <c r="B12" s="60" t="s">
        <v>156</v>
      </c>
      <c r="C12" s="53">
        <v>4674000</v>
      </c>
      <c r="D12" s="25">
        <f>C12/'Income Statement'!C11/1000</f>
        <v>4.1926050842288438E-3</v>
      </c>
      <c r="E12" s="26">
        <v>0</v>
      </c>
      <c r="F12" s="25">
        <f>E12/'Income Statement'!E11</f>
        <v>0</v>
      </c>
      <c r="G12" s="19">
        <v>0</v>
      </c>
      <c r="H12" s="25">
        <f>G12/'Income Statement'!G13</f>
        <v>0</v>
      </c>
      <c r="I12" s="98">
        <f t="shared" si="0"/>
        <v>4674000</v>
      </c>
      <c r="J12" s="66"/>
      <c r="K12" s="78" t="s">
        <v>157</v>
      </c>
      <c r="L12" s="79">
        <v>86</v>
      </c>
      <c r="M12" s="114">
        <f>L12/'Income Statement'!K17</f>
        <v>9.1684434968017064E-2</v>
      </c>
      <c r="N12" s="88">
        <v>16</v>
      </c>
      <c r="O12" s="114">
        <f>N12/'Income Statement'!M13</f>
        <v>7.7078716639367953E-4</v>
      </c>
      <c r="P12" s="88">
        <v>-124</v>
      </c>
      <c r="Q12" s="114">
        <f>P12/'Income Statement'!O13</f>
        <v>-6.0629767259925676E-3</v>
      </c>
      <c r="R12" s="126"/>
    </row>
    <row r="13" spans="2:18" x14ac:dyDescent="0.25">
      <c r="B13" s="60" t="s">
        <v>158</v>
      </c>
      <c r="C13" s="53">
        <v>7188000</v>
      </c>
      <c r="D13" s="25">
        <f>C13/'Income Statement'!C11/1000</f>
        <v>6.4476776519976318E-3</v>
      </c>
      <c r="E13" s="26">
        <v>0</v>
      </c>
      <c r="F13" s="25">
        <f>E13/'Income Statement'!E17</f>
        <v>0</v>
      </c>
      <c r="G13" s="19">
        <v>0</v>
      </c>
      <c r="H13" s="25">
        <f>G13/'Income Statement'!G14</f>
        <v>0</v>
      </c>
      <c r="I13" s="98">
        <f t="shared" si="0"/>
        <v>7188000</v>
      </c>
      <c r="J13" s="66"/>
      <c r="K13" s="78" t="s">
        <v>159</v>
      </c>
      <c r="L13" s="79">
        <v>-273</v>
      </c>
      <c r="M13" s="114">
        <f>L13/'Income Statement'!K13</f>
        <v>-1.30173564753004E-2</v>
      </c>
      <c r="N13" s="88">
        <v>-76</v>
      </c>
      <c r="O13" s="114">
        <f>N13/'Income Statement'!M13</f>
        <v>-3.6612390403699779E-3</v>
      </c>
      <c r="P13" s="88">
        <v>-30</v>
      </c>
      <c r="Q13" s="114">
        <f>P13/'Income Statement'!O13</f>
        <v>-1.4668492079014277E-3</v>
      </c>
      <c r="R13" s="126"/>
    </row>
    <row r="14" spans="2:18" x14ac:dyDescent="0.25">
      <c r="B14" s="95" t="s">
        <v>160</v>
      </c>
      <c r="C14" s="96">
        <v>-2103000</v>
      </c>
      <c r="D14" s="85">
        <f>C14/'Income Statement'!C18/1000</f>
        <v>0.67904423635776556</v>
      </c>
      <c r="E14" s="86">
        <v>-56000</v>
      </c>
      <c r="F14" s="93">
        <f>E14/'Income Statement'!E11</f>
        <v>-5.3778723600408717E-5</v>
      </c>
      <c r="G14" s="97">
        <v>-237000</v>
      </c>
      <c r="H14" s="93">
        <f>G14/'Income Statement'!G11</f>
        <v>-2.5178025639091594E-4</v>
      </c>
      <c r="I14" s="98">
        <f t="shared" si="0"/>
        <v>-2396000</v>
      </c>
      <c r="J14" s="66"/>
      <c r="K14" s="78" t="s">
        <v>161</v>
      </c>
      <c r="L14" s="79">
        <v>-147</v>
      </c>
      <c r="M14" s="114">
        <f>L14/'Income Statement'!K13</f>
        <v>-7.0093457943925233E-3</v>
      </c>
      <c r="N14" s="88">
        <v>-194</v>
      </c>
      <c r="O14" s="114">
        <f>N14/'Income Statement'!M13</f>
        <v>-9.3457943925233638E-3</v>
      </c>
      <c r="P14" s="88">
        <v>-687</v>
      </c>
      <c r="Q14" s="114">
        <f>P14/'Income Statement'!O13</f>
        <v>-3.3590846860942693E-2</v>
      </c>
      <c r="R14" s="126"/>
    </row>
    <row r="15" spans="2:18" x14ac:dyDescent="0.25">
      <c r="B15" s="30" t="s">
        <v>162</v>
      </c>
      <c r="C15" s="53">
        <v>8240000</v>
      </c>
      <c r="D15" s="25">
        <f>C15/'Income Statement'!C11/1000</f>
        <v>7.3913277479772518E-3</v>
      </c>
      <c r="E15" s="26">
        <v>10542000</v>
      </c>
      <c r="F15" s="25">
        <f>E15/'Income Statement'!E11</f>
        <v>1.0123844717776942E-2</v>
      </c>
      <c r="G15" s="26">
        <v>5514000</v>
      </c>
      <c r="H15" s="25">
        <f>G15/'Income Statement'!G11</f>
        <v>5.8578748259051072E-3</v>
      </c>
      <c r="I15" s="98">
        <f t="shared" si="0"/>
        <v>24296000</v>
      </c>
      <c r="J15" s="66"/>
      <c r="K15" s="78" t="s">
        <v>24</v>
      </c>
      <c r="L15" s="79">
        <v>294</v>
      </c>
      <c r="M15" s="114">
        <f>L15/'Income Statement'!K20</f>
        <v>1.5334863342374296E-2</v>
      </c>
      <c r="N15" s="88">
        <v>107</v>
      </c>
      <c r="O15" s="114">
        <f>N15/'Income Statement'!M13</f>
        <v>5.1546391752577319E-3</v>
      </c>
      <c r="P15" s="88">
        <v>149</v>
      </c>
      <c r="Q15" s="114">
        <f>P15/'Income Statement'!O13</f>
        <v>7.2853510659104245E-3</v>
      </c>
      <c r="R15" s="126"/>
    </row>
    <row r="16" spans="2:18" ht="30" x14ac:dyDescent="0.25">
      <c r="B16" s="30" t="s">
        <v>163</v>
      </c>
      <c r="C16" s="53">
        <v>17615000</v>
      </c>
      <c r="D16" s="25">
        <f>C16/'Income Statement'!C11/1000</f>
        <v>1.5800757072890692E-2</v>
      </c>
      <c r="E16" s="26">
        <v>15986000</v>
      </c>
      <c r="F16" s="25">
        <f>E16/'Income Statement'!E11</f>
        <v>1.5351904919216675E-2</v>
      </c>
      <c r="G16" s="26">
        <v>22857000</v>
      </c>
      <c r="H16" s="25">
        <f>G16/'Income Statement'!G11</f>
        <v>2.4282452828384666E-2</v>
      </c>
      <c r="I16" s="98">
        <f t="shared" si="0"/>
        <v>56458000</v>
      </c>
      <c r="J16" s="66"/>
      <c r="K16" s="78" t="s">
        <v>164</v>
      </c>
      <c r="L16" s="79">
        <v>1685</v>
      </c>
      <c r="M16" s="114">
        <f>L16/'Income Statement'!K13</f>
        <v>8.034522220102995E-2</v>
      </c>
      <c r="N16" s="88">
        <v>2357</v>
      </c>
      <c r="O16" s="114">
        <f>N16/'Income Statement'!M13</f>
        <v>0.11354658444936892</v>
      </c>
      <c r="P16" s="88">
        <v>2227</v>
      </c>
      <c r="Q16" s="114">
        <f>P16/'Income Statement'!O13</f>
        <v>0.10888910619988265</v>
      </c>
      <c r="R16" s="126"/>
    </row>
    <row r="17" spans="2:18" ht="30" x14ac:dyDescent="0.25">
      <c r="B17" s="30" t="s">
        <v>165</v>
      </c>
      <c r="C17" s="53">
        <v>-4010000</v>
      </c>
      <c r="D17" s="25">
        <f>C17/'Income Statement'!C11/1000</f>
        <v>-3.5969932365763082E-3</v>
      </c>
      <c r="E17" s="26">
        <v>3695000</v>
      </c>
      <c r="F17" s="25">
        <f>E17/'Income Statement'!E11</f>
        <v>3.5484354232769681E-3</v>
      </c>
      <c r="G17" s="26">
        <v>-772000</v>
      </c>
      <c r="H17" s="25">
        <f>G17/'Income Statement'!G11</f>
        <v>-8.2014497018475575E-4</v>
      </c>
      <c r="I17" s="98">
        <f t="shared" si="0"/>
        <v>-1087000</v>
      </c>
      <c r="J17" s="66"/>
      <c r="K17" s="89" t="s">
        <v>166</v>
      </c>
      <c r="L17" s="125"/>
      <c r="M17" s="115"/>
      <c r="O17" s="115"/>
      <c r="P17" s="88"/>
      <c r="Q17" s="115"/>
      <c r="R17" s="126"/>
    </row>
    <row r="18" spans="2:18" x14ac:dyDescent="0.25">
      <c r="B18" s="30" t="s">
        <v>100</v>
      </c>
      <c r="C18" s="53">
        <v>9810000</v>
      </c>
      <c r="D18" s="25">
        <f>C18/'Income Statement'!C11/1000</f>
        <v>8.7996268455894228E-3</v>
      </c>
      <c r="E18" s="26">
        <v>-3510000</v>
      </c>
      <c r="F18" s="25">
        <f>E18/'Income Statement'!E11</f>
        <v>-3.3707735685256177E-3</v>
      </c>
      <c r="G18" s="26">
        <v>57106000</v>
      </c>
      <c r="H18" s="25">
        <f>G18/'Income Statement'!G11</f>
        <v>6.0667355786749561E-2</v>
      </c>
      <c r="I18" s="98">
        <f t="shared" si="0"/>
        <v>63406000</v>
      </c>
      <c r="J18" s="66"/>
      <c r="K18" s="78" t="s">
        <v>167</v>
      </c>
      <c r="L18" s="79">
        <v>-653</v>
      </c>
      <c r="M18" s="114">
        <f>L18/'Income Statement'!K13</f>
        <v>-3.113675376692733E-2</v>
      </c>
      <c r="N18" s="88">
        <v>-556</v>
      </c>
      <c r="O18" s="114">
        <f>N18/'Income Statement'!M13</f>
        <v>-2.6784854032180363E-2</v>
      </c>
      <c r="P18" s="88">
        <v>-240</v>
      </c>
      <c r="Q18" s="114">
        <f>P18/'Income Statement'!O13</f>
        <v>-1.1734793663211422E-2</v>
      </c>
      <c r="R18" s="126"/>
    </row>
    <row r="19" spans="2:18" ht="45" x14ac:dyDescent="0.25">
      <c r="B19" s="30" t="s">
        <v>168</v>
      </c>
      <c r="C19" s="53">
        <v>12562000</v>
      </c>
      <c r="D19" s="25">
        <f>C19/'Income Statement'!C11/1000</f>
        <v>1.1268186792486678E-2</v>
      </c>
      <c r="E19" s="26">
        <v>7389000</v>
      </c>
      <c r="F19" s="25">
        <f>E19/'Income Statement'!E11</f>
        <v>7.095910512203929E-3</v>
      </c>
      <c r="G19" s="26">
        <v>6579000</v>
      </c>
      <c r="H19" s="25">
        <f>G19/'Income Statement'!G11</f>
        <v>6.9892924337377049E-3</v>
      </c>
      <c r="I19" s="98">
        <f t="shared" si="0"/>
        <v>26530000</v>
      </c>
      <c r="J19" s="66"/>
      <c r="K19" s="78" t="s">
        <v>169</v>
      </c>
      <c r="L19" s="79">
        <v>395</v>
      </c>
      <c r="M19" s="114">
        <f>L19/'Income Statement'!K13</f>
        <v>1.8834636658401679E-2</v>
      </c>
      <c r="N19" s="88">
        <v>479</v>
      </c>
      <c r="O19" s="114">
        <f>N19/'Income Statement'!M13</f>
        <v>2.307544079391078E-2</v>
      </c>
      <c r="P19" s="88">
        <v>1418</v>
      </c>
      <c r="Q19" s="114">
        <f>P19/'Income Statement'!O13</f>
        <v>6.9333072560140818E-2</v>
      </c>
      <c r="R19" s="126"/>
    </row>
    <row r="20" spans="2:18" ht="30" x14ac:dyDescent="0.25">
      <c r="B20" s="30" t="s">
        <v>170</v>
      </c>
      <c r="C20" s="53">
        <v>-38944000</v>
      </c>
      <c r="D20" s="25">
        <f>C20/'Income Statement'!C11/1000</f>
        <v>-3.4932993667139089E-2</v>
      </c>
      <c r="E20" s="26">
        <v>-52929000</v>
      </c>
      <c r="F20" s="25">
        <f>E20/'Income Statement'!E11</f>
        <v>-5.0829536811536305E-2</v>
      </c>
      <c r="G20" s="26">
        <v>-30638000</v>
      </c>
      <c r="H20" s="25">
        <f>G20/'Income Statement'!G11</f>
        <v>-3.2548706731244229E-2</v>
      </c>
      <c r="I20" s="98">
        <f t="shared" si="0"/>
        <v>-122511000</v>
      </c>
      <c r="J20" s="66"/>
      <c r="K20" s="78" t="s">
        <v>171</v>
      </c>
      <c r="L20" s="79">
        <v>-30</v>
      </c>
      <c r="M20" s="114">
        <f>L20/'Income Statement'!K13</f>
        <v>-1.4304787335494946E-3</v>
      </c>
      <c r="N20" s="88">
        <v>-13</v>
      </c>
      <c r="O20" s="114">
        <f>N20/'Income Statement'!M13</f>
        <v>-6.2626457269486459E-4</v>
      </c>
      <c r="P20" s="88">
        <v>-93</v>
      </c>
      <c r="Q20" s="114">
        <f>P20/'Income Statement'!O13</f>
        <v>-4.5472325444944261E-3</v>
      </c>
      <c r="R20" s="126"/>
    </row>
    <row r="21" spans="2:18" ht="30" x14ac:dyDescent="0.25">
      <c r="B21" s="30" t="s">
        <v>172</v>
      </c>
      <c r="C21" s="53">
        <v>-21824000</v>
      </c>
      <c r="D21" s="25">
        <f>C21/'Income Statement'!C11/1000</f>
        <v>-1.9576254462603828E-2</v>
      </c>
      <c r="E21" s="26">
        <v>-2031000</v>
      </c>
      <c r="F21" s="25">
        <f>E21/'Income Statement'!E11</f>
        <v>-1.9504390648648234E-3</v>
      </c>
      <c r="G21" s="26">
        <v>40158000</v>
      </c>
      <c r="H21" s="25">
        <f>G21/'Income Statement'!G11</f>
        <v>4.2662411544921529E-2</v>
      </c>
      <c r="I21" s="98">
        <f t="shared" si="0"/>
        <v>16303000</v>
      </c>
      <c r="J21" s="66"/>
      <c r="K21" s="78" t="s">
        <v>173</v>
      </c>
      <c r="L21" s="79">
        <v>51</v>
      </c>
      <c r="M21" s="114">
        <f>L21/'Income Statement'!K13</f>
        <v>2.4318138470341409E-3</v>
      </c>
      <c r="N21" s="88">
        <v>48</v>
      </c>
      <c r="O21" s="114">
        <f>N21/'Income Statement'!M13</f>
        <v>2.3123614991810387E-3</v>
      </c>
      <c r="P21" s="88">
        <v>187</v>
      </c>
      <c r="Q21" s="114">
        <f>P21/'Income Statement'!O13</f>
        <v>9.1433600625855666E-3</v>
      </c>
      <c r="R21" s="126"/>
    </row>
    <row r="22" spans="2:18" ht="30" x14ac:dyDescent="0.25">
      <c r="B22" s="30" t="s">
        <v>164</v>
      </c>
      <c r="C22" s="53">
        <v>270556000</v>
      </c>
      <c r="D22" s="25">
        <f>C22/'Income Statement'!C11/1000</f>
        <v>0.24269029977933659</v>
      </c>
      <c r="E22" s="26">
        <v>242896000</v>
      </c>
      <c r="F22" s="25">
        <f>E22/'Income Statement'!E11</f>
        <v>0.2332613722793728</v>
      </c>
      <c r="G22" s="26">
        <v>257374000</v>
      </c>
      <c r="H22" s="25">
        <f>G22/'Income Statement'!G11</f>
        <v>0.27342485952892659</v>
      </c>
      <c r="I22" s="98">
        <f t="shared" si="0"/>
        <v>770826000</v>
      </c>
      <c r="J22" s="66"/>
      <c r="K22" s="78" t="s">
        <v>24</v>
      </c>
      <c r="L22" s="79">
        <v>-47</v>
      </c>
      <c r="M22" s="114"/>
      <c r="N22" s="88">
        <v>-10</v>
      </c>
      <c r="O22" s="114">
        <f>N22/'Income Statement'!M13</f>
        <v>-4.8174197899604969E-4</v>
      </c>
      <c r="P22" s="88">
        <v>-61</v>
      </c>
      <c r="Q22" s="114">
        <f>P22/'Income Statement'!O13</f>
        <v>-2.9825933893995698E-3</v>
      </c>
      <c r="R22" s="126"/>
    </row>
    <row r="23" spans="2:18" ht="30" x14ac:dyDescent="0.25">
      <c r="B23" s="29" t="s">
        <v>174</v>
      </c>
      <c r="C23" s="19"/>
      <c r="D23" s="19"/>
      <c r="E23" s="19"/>
      <c r="F23" s="19"/>
      <c r="G23" s="19"/>
      <c r="H23" s="19"/>
      <c r="I23" s="98"/>
      <c r="J23" s="66"/>
      <c r="K23" s="78" t="s">
        <v>175</v>
      </c>
      <c r="L23" s="79">
        <v>-284</v>
      </c>
      <c r="M23" s="114"/>
      <c r="N23" s="88">
        <v>-52</v>
      </c>
      <c r="O23" s="114">
        <f>N23/'Income Statement'!M13</f>
        <v>-2.5050582907794583E-3</v>
      </c>
      <c r="P23" s="88">
        <v>1211</v>
      </c>
      <c r="Q23" s="114">
        <f>P23/'Income Statement'!O13</f>
        <v>5.9211813025620966E-2</v>
      </c>
      <c r="R23" s="126"/>
    </row>
    <row r="24" spans="2:18" ht="30" x14ac:dyDescent="0.25">
      <c r="B24" s="30" t="s">
        <v>176</v>
      </c>
      <c r="C24" s="53">
        <v>-57342000</v>
      </c>
      <c r="D24" s="25">
        <f>C24/'Income Statement'!C11/1000</f>
        <v>-5.1436106277246554E-2</v>
      </c>
      <c r="E24" s="26">
        <v>-47673000</v>
      </c>
      <c r="F24" s="25">
        <f>E24/'Income Statement'!E11</f>
        <v>-4.5782019467897943E-2</v>
      </c>
      <c r="G24" s="26">
        <v>-23437000</v>
      </c>
      <c r="H24" s="25">
        <f>G24/'Income Statement'!G11</f>
        <v>-2.4898623919974248E-2</v>
      </c>
      <c r="I24" s="98">
        <f t="shared" si="0"/>
        <v>-128452000</v>
      </c>
      <c r="J24" s="66"/>
      <c r="K24" s="89" t="s">
        <v>177</v>
      </c>
      <c r="L24" s="125"/>
      <c r="M24" s="115"/>
      <c r="N24" s="88"/>
      <c r="O24" s="115"/>
      <c r="P24" s="88"/>
      <c r="Q24" s="115"/>
      <c r="R24" s="126"/>
    </row>
    <row r="25" spans="2:18" x14ac:dyDescent="0.25">
      <c r="B25" s="30" t="s">
        <v>178</v>
      </c>
      <c r="C25" s="53">
        <v>-6699000</v>
      </c>
      <c r="D25" s="25">
        <f>C25/'Income Statement'!C11/1000</f>
        <v>-6.0090418184101466E-3</v>
      </c>
      <c r="E25" s="26">
        <v>-1803000</v>
      </c>
      <c r="F25" s="25">
        <f>E25/'Income Statement'!E11</f>
        <v>-1.7314828330631594E-3</v>
      </c>
      <c r="G25" s="26">
        <v>-2517000</v>
      </c>
      <c r="H25" s="25">
        <f>G25/'Income Statement'!G11</f>
        <v>-2.6739700647085882E-3</v>
      </c>
      <c r="I25" s="98">
        <f t="shared" si="0"/>
        <v>-11019000</v>
      </c>
      <c r="J25" s="66"/>
      <c r="K25" s="78" t="s">
        <v>179</v>
      </c>
      <c r="L25" s="79">
        <v>951</v>
      </c>
      <c r="M25" s="114">
        <f>L25/'Income Statement'!K13</f>
        <v>4.534617585351898E-2</v>
      </c>
      <c r="N25" s="88">
        <v>-129</v>
      </c>
      <c r="O25" s="114">
        <f>N25/'Income Statement'!M13</f>
        <v>-6.2144715290490416E-3</v>
      </c>
      <c r="P25" s="88">
        <v>60</v>
      </c>
      <c r="Q25" s="114">
        <f>P25/'Income Statement'!O13</f>
        <v>2.9336984158028555E-3</v>
      </c>
      <c r="R25" s="126"/>
    </row>
    <row r="26" spans="2:18" x14ac:dyDescent="0.25">
      <c r="B26" s="30" t="s">
        <v>180</v>
      </c>
      <c r="C26" s="53">
        <v>10585000</v>
      </c>
      <c r="D26" s="66">
        <f>C26/'Income Statement'!C11/1000</f>
        <v>9.4948063364489327E-3</v>
      </c>
      <c r="E26" s="26">
        <v>3053000</v>
      </c>
      <c r="F26" s="25">
        <f>E26/'Income Statement'!E11</f>
        <v>2.9319007705722825E-3</v>
      </c>
      <c r="G26" s="26">
        <v>1000000</v>
      </c>
      <c r="H26" s="25">
        <f>G26/'Income Statement'!G11</f>
        <v>1.0623639510165229E-3</v>
      </c>
      <c r="I26" s="98">
        <f t="shared" si="0"/>
        <v>14638000</v>
      </c>
      <c r="J26" s="66"/>
      <c r="K26" s="78" t="s">
        <v>181</v>
      </c>
      <c r="L26" s="79">
        <v>1397</v>
      </c>
      <c r="M26" s="114">
        <f>L26/'Income Statement'!K13</f>
        <v>6.6612626358954791E-2</v>
      </c>
      <c r="N26" s="88">
        <v>1646</v>
      </c>
      <c r="O26" s="114">
        <f>N26/'Income Statement'!M13</f>
        <v>7.9294729742749787E-2</v>
      </c>
      <c r="P26" s="88">
        <v>0</v>
      </c>
      <c r="Q26" s="114">
        <f>P26/'Income Statement'!O13</f>
        <v>0</v>
      </c>
      <c r="R26" s="126"/>
    </row>
    <row r="27" spans="2:18" ht="30" x14ac:dyDescent="0.25">
      <c r="B27" s="30" t="s">
        <v>182</v>
      </c>
      <c r="C27" s="53">
        <v>-168954000</v>
      </c>
      <c r="D27" s="66">
        <f>C27/'Income Statement'!C11/1000</f>
        <v>-0.15155271703055204</v>
      </c>
      <c r="E27" s="26">
        <v>-3179000</v>
      </c>
      <c r="F27" s="25">
        <f>E27/'Income Statement'!E11</f>
        <v>-3.052902898673202E-3</v>
      </c>
      <c r="G27" s="19">
        <v>0</v>
      </c>
      <c r="H27" s="25">
        <f>G27/'Income Statement'!G11</f>
        <v>0</v>
      </c>
      <c r="I27" s="98">
        <f t="shared" si="0"/>
        <v>-172133000</v>
      </c>
      <c r="J27" s="66"/>
      <c r="K27" s="78" t="s">
        <v>183</v>
      </c>
      <c r="L27" s="79">
        <v>-835</v>
      </c>
      <c r="M27" s="114">
        <f>L27/'Income Statement'!K13</f>
        <v>-3.9814991417127597E-2</v>
      </c>
      <c r="N27" s="88">
        <v>-397</v>
      </c>
      <c r="O27" s="114">
        <f>N27/'Income Statement'!M13</f>
        <v>-1.9125156566143175E-2</v>
      </c>
      <c r="P27" s="88">
        <v>-310</v>
      </c>
      <c r="Q27" s="114">
        <f>P27/'Income Statement'!O13</f>
        <v>-1.515744181498142E-2</v>
      </c>
      <c r="R27" s="126"/>
    </row>
    <row r="28" spans="2:18" ht="30" x14ac:dyDescent="0.25">
      <c r="B28" s="60" t="s">
        <v>184</v>
      </c>
      <c r="C28" s="53">
        <v>8937000</v>
      </c>
      <c r="D28" s="66">
        <f>C28/'Income Statement'!C11/1000</f>
        <v>8.0165407868534825E-3</v>
      </c>
      <c r="E28" s="26"/>
      <c r="F28" s="25"/>
      <c r="G28" s="19"/>
      <c r="H28" s="25"/>
      <c r="I28" s="98">
        <f t="shared" si="0"/>
        <v>8937000</v>
      </c>
      <c r="J28" s="66"/>
      <c r="K28" s="78" t="s">
        <v>185</v>
      </c>
      <c r="L28" s="79">
        <v>7</v>
      </c>
      <c r="M28" s="114">
        <f>L28/'Income Statement'!K13</f>
        <v>3.3377837116154872E-4</v>
      </c>
      <c r="N28" s="88">
        <v>4</v>
      </c>
      <c r="O28" s="114">
        <f>N28/'Income Statement'!M13</f>
        <v>1.9269679159841988E-4</v>
      </c>
      <c r="P28" s="88">
        <v>6</v>
      </c>
      <c r="Q28" s="114">
        <f>P28/'Income Statement'!O13</f>
        <v>2.9336984158028552E-4</v>
      </c>
      <c r="R28" s="126"/>
    </row>
    <row r="29" spans="2:18" ht="30" x14ac:dyDescent="0.25">
      <c r="B29" s="30" t="s">
        <v>186</v>
      </c>
      <c r="C29" s="53">
        <v>0</v>
      </c>
      <c r="D29" s="66">
        <f>C29/'Income Statement'!C11/1000</f>
        <v>0</v>
      </c>
      <c r="E29" s="26">
        <v>-231317000</v>
      </c>
      <c r="F29" s="25">
        <f>E29/'Income Statement'!E11</f>
        <v>-0.22214166084063827</v>
      </c>
      <c r="G29" s="19">
        <v>0</v>
      </c>
      <c r="H29" s="25">
        <f>G29/'Income Statement'!G11</f>
        <v>0</v>
      </c>
      <c r="I29" s="98">
        <f t="shared" si="0"/>
        <v>-231317000</v>
      </c>
      <c r="J29" s="66"/>
      <c r="K29" s="78" t="s">
        <v>187</v>
      </c>
      <c r="L29" s="79">
        <v>-612</v>
      </c>
      <c r="M29" s="114">
        <f>L29/'Income Statement'!K13</f>
        <v>-2.9181766164409689E-2</v>
      </c>
      <c r="N29" s="88">
        <v>-543</v>
      </c>
      <c r="O29" s="114">
        <f>N29/'Income Statement'!M13</f>
        <v>-2.6158589459485501E-2</v>
      </c>
      <c r="P29" s="88">
        <v>-482</v>
      </c>
      <c r="Q29" s="114">
        <f>P29/'Income Statement'!O13</f>
        <v>-2.3567377273616272E-2</v>
      </c>
      <c r="R29" s="126"/>
    </row>
    <row r="30" spans="2:18" ht="30" x14ac:dyDescent="0.25">
      <c r="B30" s="60" t="s">
        <v>188</v>
      </c>
      <c r="C30" s="53">
        <v>-10783000</v>
      </c>
      <c r="D30" s="25">
        <f>C30/'Income Statement'!C11/1000</f>
        <v>-9.6724134837911056E-3</v>
      </c>
      <c r="E30" s="26"/>
      <c r="F30" s="25">
        <f>E30/'Income Statement'!E11</f>
        <v>0</v>
      </c>
      <c r="G30" s="19">
        <v>0</v>
      </c>
      <c r="H30" s="25"/>
      <c r="I30" s="98">
        <f t="shared" si="0"/>
        <v>-10783000</v>
      </c>
      <c r="J30" s="66"/>
      <c r="K30" s="78" t="s">
        <v>189</v>
      </c>
      <c r="L30" s="79">
        <v>-2260</v>
      </c>
      <c r="M30" s="114">
        <f>L30/'Income Statement'!K13</f>
        <v>-0.10776273126072859</v>
      </c>
      <c r="N30" s="88">
        <v>-2850</v>
      </c>
      <c r="O30" s="114">
        <f>N30/'Income Statement'!M13</f>
        <v>-0.13729646401387416</v>
      </c>
      <c r="P30" s="88">
        <v>-3013</v>
      </c>
      <c r="Q30" s="114">
        <f>P30/'Income Statement'!O13</f>
        <v>-0.14732055544690006</v>
      </c>
      <c r="R30" s="126"/>
    </row>
    <row r="31" spans="2:18" ht="30" x14ac:dyDescent="0.25">
      <c r="B31" s="30" t="s">
        <v>190</v>
      </c>
      <c r="C31" s="53">
        <v>-27828000</v>
      </c>
      <c r="D31" s="25">
        <f>C31/'Income Statement'!C11/1000</f>
        <v>-2.4961877253727061E-2</v>
      </c>
      <c r="E31" s="26">
        <v>-9604000</v>
      </c>
      <c r="F31" s="25">
        <f>E31/'Income Statement'!E11</f>
        <v>-9.2230510974700957E-3</v>
      </c>
      <c r="G31" s="26">
        <v>-50554000</v>
      </c>
      <c r="H31" s="25">
        <f>G31/'Income Statement'!G11</f>
        <v>-5.3706747179689304E-2</v>
      </c>
      <c r="I31" s="98">
        <f t="shared" si="0"/>
        <v>-87986000</v>
      </c>
      <c r="J31" s="66"/>
      <c r="K31" s="78" t="s">
        <v>191</v>
      </c>
      <c r="L31" s="79">
        <v>-148</v>
      </c>
      <c r="M31" s="114">
        <f>L31/'Income Statement'!K13</f>
        <v>-7.0570284188441728E-3</v>
      </c>
      <c r="N31" s="88">
        <v>-105</v>
      </c>
      <c r="O31" s="114">
        <f>N31/'Income Statement'!M17</f>
        <v>-0.11326860841423948</v>
      </c>
      <c r="P31" s="88">
        <v>-157</v>
      </c>
      <c r="Q31" s="114">
        <f>P31/'Income Statement'!O13</f>
        <v>-7.6765108546841387E-3</v>
      </c>
      <c r="R31" s="126"/>
    </row>
    <row r="32" spans="2:18" ht="30" x14ac:dyDescent="0.25">
      <c r="B32" s="30" t="s">
        <v>192</v>
      </c>
      <c r="C32" s="53">
        <v>10241000</v>
      </c>
      <c r="D32" s="25">
        <f>C32/'Income Statement'!C11/1000</f>
        <v>9.1862363430867764E-3</v>
      </c>
      <c r="E32" s="26">
        <v>1429000</v>
      </c>
      <c r="F32" s="25">
        <f>E32/'Income Statement'!E11</f>
        <v>1.3723177861604296E-3</v>
      </c>
      <c r="G32" s="26">
        <v>4569000</v>
      </c>
      <c r="H32" s="25">
        <f>G32/'Income Statement'!G11</f>
        <v>4.8539408921944929E-3</v>
      </c>
      <c r="I32" s="98">
        <f t="shared" si="0"/>
        <v>16239000</v>
      </c>
      <c r="J32" s="66"/>
      <c r="K32" s="78" t="s">
        <v>24</v>
      </c>
      <c r="L32" s="79">
        <v>-8</v>
      </c>
      <c r="M32" s="114">
        <f>L32/'Income Statement'!K13</f>
        <v>-3.8146099561319857E-4</v>
      </c>
      <c r="N32" s="88">
        <v>0</v>
      </c>
      <c r="O32" s="114">
        <f>N32/'Income Statement'!M13</f>
        <v>0</v>
      </c>
      <c r="P32" s="88">
        <v>0</v>
      </c>
      <c r="Q32" s="114">
        <f>P32/'Income Statement'!O13</f>
        <v>0</v>
      </c>
      <c r="R32" s="126"/>
    </row>
    <row r="33" spans="2:18" ht="30" x14ac:dyDescent="0.25">
      <c r="B33" s="30" t="s">
        <v>193</v>
      </c>
      <c r="C33" s="53">
        <v>-3175000</v>
      </c>
      <c r="D33" s="25">
        <f>C33/'Income Statement'!C11/1000</f>
        <v>-2.8479933980373514E-3</v>
      </c>
      <c r="E33" s="26">
        <v>-2895000</v>
      </c>
      <c r="F33" s="25">
        <f>E33/'Income Statement'!E11</f>
        <v>-2.7801679432711292E-3</v>
      </c>
      <c r="G33" s="26">
        <v>-2447000</v>
      </c>
      <c r="H33" s="25">
        <f>G33/'Income Statement'!G11</f>
        <v>-2.5996045881374317E-3</v>
      </c>
      <c r="I33" s="98">
        <f t="shared" si="0"/>
        <v>-8517000</v>
      </c>
      <c r="J33" s="66"/>
      <c r="K33" s="78" t="s">
        <v>194</v>
      </c>
      <c r="L33" s="79">
        <v>-1508</v>
      </c>
      <c r="M33" s="114">
        <f>L33/'Income Statement'!K13</f>
        <v>-7.1905397673087929E-2</v>
      </c>
      <c r="N33" s="88">
        <v>-2374</v>
      </c>
      <c r="O33" s="114">
        <f>N33/'Income Statement'!M13</f>
        <v>-0.11436554581366221</v>
      </c>
      <c r="P33" s="88">
        <v>-3896</v>
      </c>
      <c r="Q33" s="114">
        <f>P33/'Income Statement'!O13</f>
        <v>-0.19049481713279875</v>
      </c>
      <c r="R33" s="126"/>
    </row>
    <row r="34" spans="2:18" ht="30" x14ac:dyDescent="0.25">
      <c r="B34" s="30" t="s">
        <v>195</v>
      </c>
      <c r="C34" s="53">
        <v>2217000</v>
      </c>
      <c r="D34" s="25">
        <f>C34/'Income Statement'!C11/1000</f>
        <v>1.9886618467555304E-3</v>
      </c>
      <c r="E34" s="26">
        <v>2825000</v>
      </c>
      <c r="F34" s="25">
        <f>E34/'Income Statement'!E11</f>
        <v>2.7129445387706185E-3</v>
      </c>
      <c r="G34" s="26">
        <v>2245000</v>
      </c>
      <c r="H34" s="25">
        <f>G34/'Income Statement'!G11</f>
        <v>2.385007070032094E-3</v>
      </c>
      <c r="I34" s="98">
        <f t="shared" si="0"/>
        <v>7287000</v>
      </c>
      <c r="J34" s="66"/>
      <c r="K34" s="78" t="s">
        <v>196</v>
      </c>
      <c r="L34" s="79">
        <v>-107</v>
      </c>
      <c r="M34" s="114">
        <f>L34/'Income Statement'!K13</f>
        <v>-5.1020408163265302E-3</v>
      </c>
      <c r="N34" s="88">
        <v>-69</v>
      </c>
      <c r="O34" s="114">
        <f>N34/'Income Statement'!M13</f>
        <v>-3.3240196550727431E-3</v>
      </c>
      <c r="P34" s="88">
        <v>-458</v>
      </c>
      <c r="Q34" s="114">
        <f>P34/'Income Statement'!O13</f>
        <v>-2.2393897907295131E-2</v>
      </c>
      <c r="R34" s="126"/>
    </row>
    <row r="35" spans="2:18" x14ac:dyDescent="0.25">
      <c r="B35" s="30" t="s">
        <v>197</v>
      </c>
      <c r="C35" s="53">
        <v>-20722000</v>
      </c>
      <c r="D35" s="25">
        <f>C35/'Income Statement'!C11/1000</f>
        <v>-1.8587754076891335E-2</v>
      </c>
      <c r="E35" s="26">
        <v>-36045000</v>
      </c>
      <c r="F35" s="25">
        <f>E35/'Income Statement'!E11</f>
        <v>-3.4615251646013076E-2</v>
      </c>
      <c r="G35" s="26">
        <v>-19738000</v>
      </c>
      <c r="H35" s="25">
        <f>G35/'Income Statement'!G11</f>
        <v>-2.0968939665164131E-2</v>
      </c>
      <c r="I35" s="98">
        <f t="shared" si="0"/>
        <v>-76505000</v>
      </c>
      <c r="J35" s="66"/>
      <c r="K35" s="78" t="s">
        <v>198</v>
      </c>
      <c r="L35" s="79">
        <v>360</v>
      </c>
      <c r="M35" s="114">
        <f>L35/'Income Statement'!K13</f>
        <v>1.7165744802593936E-2</v>
      </c>
      <c r="N35" s="88">
        <v>429</v>
      </c>
      <c r="O35" s="114">
        <f>N35/'Income Statement'!M13</f>
        <v>2.0666730898930532E-2</v>
      </c>
      <c r="P35" s="88">
        <v>887</v>
      </c>
      <c r="Q35" s="114">
        <f>P35/'Income Statement'!O13</f>
        <v>4.3369841580285548E-2</v>
      </c>
      <c r="R35" s="126"/>
    </row>
    <row r="36" spans="2:18" x14ac:dyDescent="0.25">
      <c r="B36" s="30" t="s">
        <v>199</v>
      </c>
      <c r="C36" s="53">
        <v>14231000</v>
      </c>
      <c r="D36" s="25">
        <f>C36/'Income Statement'!C11/1000</f>
        <v>1.2765289463769935E-2</v>
      </c>
      <c r="E36" s="26">
        <v>4997000</v>
      </c>
      <c r="F36" s="25">
        <f>E36/'Income Statement'!E11</f>
        <v>4.7987907469864708E-3</v>
      </c>
      <c r="G36" s="26">
        <v>655000</v>
      </c>
      <c r="H36" s="25">
        <f>G36/'Income Statement'!G11</f>
        <v>6.9584838791582251E-4</v>
      </c>
      <c r="I36" s="98">
        <f t="shared" si="0"/>
        <v>19883000</v>
      </c>
      <c r="J36" s="66"/>
      <c r="K36" s="123" t="s">
        <v>200</v>
      </c>
      <c r="L36" s="79">
        <v>253</v>
      </c>
      <c r="M36" s="118">
        <f>L36/'Income Statement'!K13</f>
        <v>1.2063703986267405E-2</v>
      </c>
      <c r="N36" s="119">
        <v>360</v>
      </c>
      <c r="O36" s="118">
        <f>N36/'Income Statement'!M13</f>
        <v>1.7342711243857788E-2</v>
      </c>
      <c r="P36" s="119">
        <v>429</v>
      </c>
      <c r="Q36" s="118">
        <f>P36/'Income Statement'!O13</f>
        <v>2.0975943672990417E-2</v>
      </c>
      <c r="R36" s="126"/>
    </row>
    <row r="37" spans="2:18" x14ac:dyDescent="0.25">
      <c r="B37" s="30" t="s">
        <v>201</v>
      </c>
      <c r="C37" s="53">
        <v>-1875000</v>
      </c>
      <c r="D37" s="25">
        <f>C37/'Income Statement'!C11/1000</f>
        <v>-1.6818858649826878E-3</v>
      </c>
      <c r="E37" s="26">
        <v>-1040000</v>
      </c>
      <c r="F37" s="25">
        <f>E37/'Income Statement'!E11</f>
        <v>-9.9874772400759056E-4</v>
      </c>
      <c r="G37" s="26">
        <v>109000</v>
      </c>
      <c r="H37" s="25">
        <f>G37/'Income Statement'!G11</f>
        <v>1.15797670660801E-4</v>
      </c>
      <c r="I37" s="98">
        <f t="shared" si="0"/>
        <v>-2806000</v>
      </c>
      <c r="J37" s="66"/>
      <c r="K37" s="124" t="s">
        <v>202</v>
      </c>
      <c r="L37" s="120">
        <v>28</v>
      </c>
      <c r="M37" s="114">
        <f>L37/'Income Statement'!K13</f>
        <v>1.3351134846461949E-3</v>
      </c>
      <c r="N37" s="120">
        <v>44</v>
      </c>
      <c r="O37" s="114">
        <f>N37/'Income Statement'!M13</f>
        <v>2.1196647075826186E-3</v>
      </c>
      <c r="P37" s="88">
        <v>0</v>
      </c>
      <c r="Q37" s="114">
        <f>P37/'Income Statement'!O13</f>
        <v>0</v>
      </c>
      <c r="R37" s="126"/>
    </row>
    <row r="38" spans="2:18" x14ac:dyDescent="0.25">
      <c r="B38" s="95" t="s">
        <v>203</v>
      </c>
      <c r="C38" s="96">
        <v>-251167000</v>
      </c>
      <c r="D38" s="93">
        <f>C38/'Income Statement'!C11/1000</f>
        <v>-0.22529825442672358</v>
      </c>
      <c r="E38" s="97">
        <v>-321252000</v>
      </c>
      <c r="F38" s="93">
        <f>E38/'Income Statement'!E11</f>
        <v>-0.30850933060854469</v>
      </c>
      <c r="G38" s="97">
        <v>-90115000</v>
      </c>
      <c r="H38" s="93">
        <f>G38/'Income Statement'!G11</f>
        <v>-9.5734927445853962E-2</v>
      </c>
      <c r="I38" s="98">
        <f t="shared" si="0"/>
        <v>-662534000</v>
      </c>
      <c r="J38" s="66"/>
    </row>
    <row r="39" spans="2:18" ht="30" x14ac:dyDescent="0.25">
      <c r="B39" s="29" t="s">
        <v>204</v>
      </c>
      <c r="C39" s="19"/>
      <c r="D39" s="19"/>
      <c r="E39" s="19"/>
      <c r="F39" s="19"/>
      <c r="G39" s="19"/>
      <c r="H39" s="19"/>
      <c r="I39" s="98"/>
      <c r="J39" s="66"/>
    </row>
    <row r="40" spans="2:18" ht="30" x14ac:dyDescent="0.25">
      <c r="B40" s="80" t="s">
        <v>205</v>
      </c>
      <c r="C40" s="81">
        <v>422376000</v>
      </c>
      <c r="D40" s="25">
        <f>C40/'Income Statement'!C11/1000</f>
        <v>0.37887371952422816</v>
      </c>
      <c r="E40" s="26">
        <v>9037000</v>
      </c>
      <c r="F40" s="25">
        <f>E40/'Income Statement'!E11</f>
        <v>8.6785415210159575E-3</v>
      </c>
      <c r="G40" s="19">
        <v>0</v>
      </c>
      <c r="H40" s="25">
        <f>G40/'Income Statement'!G11</f>
        <v>0</v>
      </c>
      <c r="I40" s="98">
        <f t="shared" si="0"/>
        <v>431413000</v>
      </c>
      <c r="J40" s="66"/>
    </row>
    <row r="41" spans="2:18" ht="30" x14ac:dyDescent="0.25">
      <c r="B41" s="80" t="s">
        <v>206</v>
      </c>
      <c r="C41" s="81">
        <v>-72400000</v>
      </c>
      <c r="D41" s="85">
        <f>C41/'Income Statement'!C11/1000</f>
        <v>-6.494321953319819E-2</v>
      </c>
      <c r="E41" s="86">
        <v>20600000</v>
      </c>
      <c r="F41" s="85">
        <f>E41/'Income Statement'!E11</f>
        <v>1.9782887610150349E-2</v>
      </c>
      <c r="G41" s="86">
        <v>-115003000</v>
      </c>
      <c r="H41" s="85">
        <f>G41/'Income Statement'!G11</f>
        <v>-0.12217504145875319</v>
      </c>
      <c r="I41" s="98">
        <f t="shared" si="0"/>
        <v>-166803000</v>
      </c>
      <c r="J41" s="66"/>
    </row>
    <row r="42" spans="2:18" ht="30" x14ac:dyDescent="0.25">
      <c r="B42" s="80" t="s">
        <v>207</v>
      </c>
      <c r="C42" s="81">
        <v>-256809000</v>
      </c>
      <c r="D42" s="25">
        <f>C42/'Income Statement'!C11/1000</f>
        <v>-0.23035916112018082</v>
      </c>
      <c r="E42" s="26">
        <v>-603000</v>
      </c>
      <c r="F42" s="25">
        <f>E42/'Income Statement'!E11</f>
        <v>-5.7908161305440103E-4</v>
      </c>
      <c r="G42" s="26">
        <v>-660000</v>
      </c>
      <c r="H42" s="25">
        <f>G42/'Income Statement'!G11</f>
        <v>-7.0116020767090515E-4</v>
      </c>
      <c r="I42" s="98">
        <f t="shared" si="0"/>
        <v>-258072000</v>
      </c>
      <c r="J42" s="66"/>
    </row>
    <row r="43" spans="2:18" x14ac:dyDescent="0.25">
      <c r="B43" s="30" t="s">
        <v>208</v>
      </c>
      <c r="C43" s="53">
        <v>-3936000</v>
      </c>
      <c r="D43" s="25">
        <f>C43/'Income Statement'!C11/1000</f>
        <v>-3.5306148077716582E-3</v>
      </c>
      <c r="E43" s="26">
        <v>-2590000</v>
      </c>
      <c r="F43" s="25">
        <f>E43/'Income Statement'!E11</f>
        <v>-2.4872659665189033E-3</v>
      </c>
      <c r="G43" s="19">
        <v>0</v>
      </c>
      <c r="H43" s="25">
        <f>G43/'Income Statement'!G11</f>
        <v>0</v>
      </c>
      <c r="I43" s="98">
        <f t="shared" si="0"/>
        <v>-6526000</v>
      </c>
      <c r="J43" s="66"/>
    </row>
    <row r="44" spans="2:18" x14ac:dyDescent="0.25">
      <c r="B44" s="30" t="s">
        <v>209</v>
      </c>
      <c r="C44" s="53">
        <v>-50638000</v>
      </c>
      <c r="D44" s="25">
        <f>C44/'Income Statement'!C11/1000</f>
        <v>-4.5422579429863122E-2</v>
      </c>
      <c r="E44" s="26">
        <v>-148679000</v>
      </c>
      <c r="F44" s="25">
        <f>E44/'Income Statement'!E11</f>
        <v>-0.14278155082473515</v>
      </c>
      <c r="G44" s="26">
        <v>-9807000</v>
      </c>
      <c r="H44" s="25">
        <f>G44/'Income Statement'!G11</f>
        <v>-1.041860326761904E-2</v>
      </c>
      <c r="I44" s="98">
        <f t="shared" si="0"/>
        <v>-209124000</v>
      </c>
      <c r="J44" s="66"/>
    </row>
    <row r="45" spans="2:18" x14ac:dyDescent="0.25">
      <c r="B45" s="30" t="s">
        <v>187</v>
      </c>
      <c r="C45" s="53">
        <v>-48089000</v>
      </c>
      <c r="D45" s="25">
        <f>C45/'Income Statement'!C11/1000</f>
        <v>-4.3136111659281322E-2</v>
      </c>
      <c r="E45" s="26">
        <v>-48715000</v>
      </c>
      <c r="F45" s="25">
        <f>E45/'Income Statement'!E11</f>
        <v>-4.6782687860605549E-2</v>
      </c>
      <c r="G45" s="26">
        <v>-48651000</v>
      </c>
      <c r="H45" s="25">
        <f>G45/'Income Statement'!G11</f>
        <v>-5.168506858090486E-2</v>
      </c>
      <c r="I45" s="98">
        <f t="shared" si="0"/>
        <v>-145455000</v>
      </c>
      <c r="J45" s="66"/>
    </row>
    <row r="46" spans="2:18" ht="30" x14ac:dyDescent="0.25">
      <c r="B46" s="30" t="s">
        <v>210</v>
      </c>
      <c r="C46" s="53">
        <v>-24409000</v>
      </c>
      <c r="D46" s="25">
        <f>C46/'Income Statement'!C11/1000</f>
        <v>-2.1895014441793294E-2</v>
      </c>
      <c r="E46" s="26">
        <v>173000</v>
      </c>
      <c r="F46" s="25">
        <f>E46/'Income Statement'!E11</f>
        <v>1.6613784255126266E-4</v>
      </c>
      <c r="G46" s="26">
        <v>24237000</v>
      </c>
      <c r="H46" s="25">
        <f>G46/'Income Statement'!G11</f>
        <v>2.5748515080787467E-2</v>
      </c>
      <c r="I46" s="98">
        <f t="shared" si="0"/>
        <v>1000</v>
      </c>
      <c r="J46" s="66"/>
    </row>
    <row r="47" spans="2:18" ht="30" x14ac:dyDescent="0.25">
      <c r="B47" s="30" t="s">
        <v>211</v>
      </c>
      <c r="C47" s="53">
        <v>21410000</v>
      </c>
      <c r="D47" s="25">
        <f>C47/'Income Statement'!C11/1000</f>
        <v>1.9204894063615651E-2</v>
      </c>
      <c r="E47" s="26">
        <v>41360000</v>
      </c>
      <c r="F47" s="25">
        <f>E47/'Income Statement'!E11</f>
        <v>3.9719428716301866E-2</v>
      </c>
      <c r="G47" s="26">
        <v>14107000</v>
      </c>
      <c r="H47" s="25">
        <f>G47/'Income Statement'!G11</f>
        <v>1.498676825699009E-2</v>
      </c>
      <c r="I47" s="98">
        <f t="shared" si="0"/>
        <v>76877000</v>
      </c>
      <c r="J47" s="66"/>
    </row>
    <row r="48" spans="2:18" x14ac:dyDescent="0.25">
      <c r="B48" s="80" t="s">
        <v>212</v>
      </c>
      <c r="C48" s="81">
        <v>-12495000</v>
      </c>
      <c r="D48" s="85">
        <f>C48/'Income Statement'!C11/1000</f>
        <v>-1.1208087404244631E-2</v>
      </c>
      <c r="E48" s="86">
        <v>-129417000</v>
      </c>
      <c r="F48" s="85">
        <f>E48/'Income Statement'!E11</f>
        <v>-0.12428359057489456</v>
      </c>
      <c r="G48" s="86">
        <v>-135777000</v>
      </c>
      <c r="H48" s="85">
        <f>G48/'Income Statement'!G11</f>
        <v>-0.14424459017717042</v>
      </c>
      <c r="I48" s="98">
        <f t="shared" si="0"/>
        <v>-277689000</v>
      </c>
      <c r="J48" s="66"/>
    </row>
    <row r="49" spans="2:18" ht="30" x14ac:dyDescent="0.25">
      <c r="B49" s="30" t="s">
        <v>213</v>
      </c>
      <c r="C49" s="53">
        <v>6894000</v>
      </c>
      <c r="D49" s="25">
        <f>(C49/'Income Statement'!C15)/1000</f>
        <v>1.1903877998200777E-2</v>
      </c>
      <c r="E49" s="26">
        <v>-207773000</v>
      </c>
      <c r="F49" s="25">
        <f>E49/'Income Statement'!E11</f>
        <v>-0.19953154890406644</v>
      </c>
      <c r="G49" s="26">
        <v>31482000</v>
      </c>
      <c r="H49" s="25">
        <f>G49/'Income Statement'!G11</f>
        <v>3.3445341905902176E-2</v>
      </c>
      <c r="I49" s="98">
        <f t="shared" si="0"/>
        <v>-169397000</v>
      </c>
      <c r="J49" s="66"/>
    </row>
    <row r="50" spans="2:18" ht="45" x14ac:dyDescent="0.25">
      <c r="B50" s="30" t="s">
        <v>214</v>
      </c>
      <c r="C50" s="53">
        <v>230000</v>
      </c>
      <c r="D50" s="25">
        <f>C50/'Income Statement'!C11/1000</f>
        <v>2.0631133277120969E-4</v>
      </c>
      <c r="E50" s="26">
        <v>-921000</v>
      </c>
      <c r="F50" s="25">
        <f>E50/'Income Statement'!E11</f>
        <v>-8.8446793635672198E-4</v>
      </c>
      <c r="G50" s="26">
        <v>1391000</v>
      </c>
      <c r="H50" s="25">
        <f>G50/'Income Statement'!G11</f>
        <v>1.4777482558639835E-3</v>
      </c>
      <c r="I50" s="98">
        <f t="shared" si="0"/>
        <v>700000</v>
      </c>
      <c r="J50" s="66"/>
    </row>
    <row r="51" spans="2:18" ht="30" x14ac:dyDescent="0.25">
      <c r="B51" s="30" t="s">
        <v>215</v>
      </c>
      <c r="C51" s="53">
        <v>26642000</v>
      </c>
      <c r="D51" s="25">
        <f>C51/'Income Statement'!C11/1000</f>
        <v>2.3898028381263346E-2</v>
      </c>
      <c r="E51" s="26">
        <v>235336000</v>
      </c>
      <c r="F51" s="25">
        <f>E51/'Income Statement'!E11</f>
        <v>0.22600124459331761</v>
      </c>
      <c r="G51" s="26">
        <v>202463000</v>
      </c>
      <c r="H51" s="25">
        <f>G51/'Income Statement'!G11</f>
        <v>0.21508939261465829</v>
      </c>
      <c r="I51" s="98">
        <f t="shared" si="0"/>
        <v>464441000</v>
      </c>
      <c r="J51" s="66"/>
    </row>
    <row r="52" spans="2:18" ht="30" x14ac:dyDescent="0.25">
      <c r="B52" s="30" t="s">
        <v>216</v>
      </c>
      <c r="C52" s="53">
        <v>33766000</v>
      </c>
      <c r="D52" s="25">
        <f>C52/'Income Statement'!C11/1000</f>
        <v>3.0288297662402902E-2</v>
      </c>
      <c r="E52" s="26">
        <v>26642000</v>
      </c>
      <c r="F52" s="25">
        <f>E52/'Income Statement'!E11</f>
        <v>2.5585227752894447E-2</v>
      </c>
      <c r="G52" s="26">
        <v>235336000</v>
      </c>
      <c r="H52" s="25">
        <f>G52/'Income Statement'!G11</f>
        <v>0.25001248277642446</v>
      </c>
      <c r="I52" s="98">
        <f t="shared" si="0"/>
        <v>295744000</v>
      </c>
      <c r="J52" s="66"/>
    </row>
    <row r="53" spans="2:18" x14ac:dyDescent="0.25">
      <c r="B53" s="29" t="s">
        <v>217</v>
      </c>
      <c r="C53" s="19"/>
      <c r="D53" s="19"/>
      <c r="E53" s="19"/>
      <c r="F53" s="19"/>
      <c r="G53" s="19"/>
      <c r="H53" s="19"/>
      <c r="I53" s="98">
        <f t="shared" si="0"/>
        <v>0</v>
      </c>
      <c r="J53" s="66"/>
    </row>
    <row r="54" spans="2:18" x14ac:dyDescent="0.25">
      <c r="B54" s="30" t="s">
        <v>218</v>
      </c>
      <c r="C54" s="53">
        <v>41859000</v>
      </c>
      <c r="D54" s="25">
        <f>C54/'Income Statement'!C11/1000</f>
        <v>3.754776555856551E-2</v>
      </c>
      <c r="E54" s="26">
        <v>77357000</v>
      </c>
      <c r="F54" s="25">
        <f>E54/'Income Statement'!E11</f>
        <v>7.4288584313514594E-2</v>
      </c>
      <c r="G54" s="26">
        <v>39181000</v>
      </c>
      <c r="H54" s="25">
        <f>G54/'Income Statement'!G11</f>
        <v>4.1624481964778387E-2</v>
      </c>
      <c r="I54" s="98">
        <f t="shared" si="0"/>
        <v>158397000</v>
      </c>
      <c r="J54" s="66"/>
    </row>
    <row r="55" spans="2:18" x14ac:dyDescent="0.25">
      <c r="B55" s="30" t="s">
        <v>219</v>
      </c>
      <c r="C55" s="53">
        <v>48179000</v>
      </c>
      <c r="D55" s="25">
        <f>C55/'Income Statement'!C11/1000</f>
        <v>4.3216842180800491E-2</v>
      </c>
      <c r="E55" s="26">
        <v>43254000</v>
      </c>
      <c r="F55" s="25">
        <f>E55/'Income Statement'!E11</f>
        <v>4.1538301975215693E-2</v>
      </c>
      <c r="G55" s="26">
        <v>42405000</v>
      </c>
      <c r="H55" s="25">
        <f>G55/'Income Statement'!G11</f>
        <v>4.5049543342855658E-2</v>
      </c>
      <c r="I55" s="98">
        <f t="shared" si="0"/>
        <v>133838000</v>
      </c>
      <c r="J55" s="66"/>
    </row>
    <row r="56" spans="2:18" ht="30" x14ac:dyDescent="0.25">
      <c r="B56" s="30" t="s">
        <v>220</v>
      </c>
      <c r="C56" s="19"/>
      <c r="D56" s="19"/>
      <c r="E56" s="19"/>
      <c r="F56" s="19"/>
      <c r="G56" s="19"/>
      <c r="H56" s="19"/>
      <c r="I56" s="98"/>
      <c r="J56" s="66"/>
    </row>
    <row r="57" spans="2:18" x14ac:dyDescent="0.25">
      <c r="B57" s="30" t="s">
        <v>221</v>
      </c>
      <c r="C57" s="53">
        <v>12535000</v>
      </c>
      <c r="D57" s="25">
        <f>C57/'Income Statement'!C11/1000</f>
        <v>1.1243967636030928E-2</v>
      </c>
      <c r="E57" s="26">
        <v>11977000</v>
      </c>
      <c r="F57" s="25">
        <f>E57/'Income Statement'!E11</f>
        <v>1.1501924510037415E-2</v>
      </c>
      <c r="G57" s="26">
        <v>12185000</v>
      </c>
      <c r="H57" s="25">
        <f>G57/'Income Statement'!G11</f>
        <v>1.2944904743136332E-2</v>
      </c>
      <c r="I57" s="98">
        <f t="shared" si="0"/>
        <v>36697000</v>
      </c>
      <c r="J57" s="66"/>
    </row>
    <row r="58" spans="2:18" ht="45" x14ac:dyDescent="0.25">
      <c r="B58" s="30" t="s">
        <v>222</v>
      </c>
      <c r="C58" s="53">
        <v>959000</v>
      </c>
      <c r="D58" s="25">
        <f>C58/'Income Statement'!C11/1000</f>
        <v>8.6022855707647869E-4</v>
      </c>
      <c r="E58" s="26">
        <v>5949000</v>
      </c>
      <c r="F58" s="25">
        <f>E58/'Income Statement'!E11</f>
        <v>5.7130290481934194E-3</v>
      </c>
      <c r="G58" s="26">
        <v>1099000</v>
      </c>
      <c r="H58" s="25">
        <f>G58/'Income Statement'!G11</f>
        <v>1.1675379821671588E-3</v>
      </c>
      <c r="I58" s="98">
        <f t="shared" si="0"/>
        <v>8007000</v>
      </c>
      <c r="J58" s="66"/>
    </row>
    <row r="59" spans="2:18" x14ac:dyDescent="0.25">
      <c r="B59" s="30" t="s">
        <v>223</v>
      </c>
      <c r="C59" s="53">
        <v>0</v>
      </c>
      <c r="D59" s="25">
        <f>C59/'Income Statement'!C11/1000</f>
        <v>0</v>
      </c>
      <c r="E59" s="24">
        <v>0</v>
      </c>
      <c r="F59" s="25">
        <f>E59/'Income Statement'!E11</f>
        <v>0</v>
      </c>
      <c r="G59" s="24">
        <v>2000000</v>
      </c>
      <c r="H59" s="25">
        <f>G59/'Income Statement'!G11</f>
        <v>2.1247279020330458E-3</v>
      </c>
      <c r="I59" s="98">
        <f t="shared" si="0"/>
        <v>2000000</v>
      </c>
      <c r="J59" s="66"/>
    </row>
    <row r="62" spans="2:18" x14ac:dyDescent="0.25">
      <c r="B62" t="s">
        <v>138</v>
      </c>
    </row>
    <row r="64" spans="2:18" s="17" customFormat="1" x14ac:dyDescent="0.25">
      <c r="B64" s="17" t="s">
        <v>224</v>
      </c>
      <c r="K64" s="111"/>
      <c r="L64" s="111"/>
      <c r="M64" s="116"/>
      <c r="N64" s="111"/>
      <c r="O64" s="116"/>
      <c r="P64" s="111"/>
      <c r="Q64" s="116"/>
      <c r="R64" s="111"/>
    </row>
    <row r="65" spans="2:18" ht="105" x14ac:dyDescent="0.25">
      <c r="B65" s="77" t="s">
        <v>225</v>
      </c>
    </row>
    <row r="69" spans="2:18" s="17" customFormat="1" x14ac:dyDescent="0.25">
      <c r="B69" s="17" t="s">
        <v>226</v>
      </c>
      <c r="K69" s="111"/>
      <c r="L69" s="111"/>
      <c r="M69" s="116"/>
      <c r="N69" s="111"/>
      <c r="O69" s="116"/>
      <c r="P69" s="111"/>
      <c r="Q69" s="116"/>
      <c r="R69" s="111"/>
    </row>
    <row r="71" spans="2:18" ht="60" x14ac:dyDescent="0.25">
      <c r="B71" s="77" t="s">
        <v>227</v>
      </c>
    </row>
    <row r="72" spans="2:18" x14ac:dyDescent="0.25">
      <c r="B72" s="77"/>
    </row>
    <row r="74" spans="2:18" s="17" customFormat="1" x14ac:dyDescent="0.25">
      <c r="B74" s="17" t="s">
        <v>228</v>
      </c>
      <c r="K74" s="111"/>
      <c r="L74" s="111"/>
      <c r="M74" s="116"/>
      <c r="N74" s="111"/>
      <c r="O74" s="116"/>
      <c r="P74" s="111"/>
      <c r="Q74" s="116"/>
      <c r="R74" s="111"/>
    </row>
    <row r="75" spans="2:18" ht="165" x14ac:dyDescent="0.25">
      <c r="B75" s="77" t="s">
        <v>229</v>
      </c>
    </row>
    <row r="79" spans="2:18" s="17" customFormat="1" x14ac:dyDescent="0.25">
      <c r="B79" s="17" t="s">
        <v>230</v>
      </c>
      <c r="K79" s="111"/>
      <c r="L79" s="111"/>
      <c r="M79" s="116"/>
      <c r="N79" s="111"/>
      <c r="O79" s="116"/>
      <c r="P79" s="111"/>
      <c r="Q79" s="116"/>
      <c r="R79" s="111"/>
    </row>
    <row r="81" spans="2:5" x14ac:dyDescent="0.25">
      <c r="B81" t="s">
        <v>231</v>
      </c>
      <c r="C81" s="62">
        <f>C38+C22+C48</f>
        <v>6894000</v>
      </c>
      <c r="D81" s="101">
        <f>E22+E38+E48</f>
        <v>-207773000</v>
      </c>
      <c r="E81" s="101">
        <f>G22+G38+G48</f>
        <v>31482000</v>
      </c>
    </row>
    <row r="82" spans="2:5" x14ac:dyDescent="0.25">
      <c r="B82" t="s">
        <v>232</v>
      </c>
      <c r="C82" s="62">
        <f>L16+L23+L33</f>
        <v>-107</v>
      </c>
      <c r="D82" s="62">
        <f>N16+N23+N33</f>
        <v>-69</v>
      </c>
      <c r="E82" s="62">
        <f>P16+P23+P33</f>
        <v>-458</v>
      </c>
    </row>
    <row r="83" spans="2:5" ht="135" x14ac:dyDescent="0.25">
      <c r="B83" s="77" t="s">
        <v>233</v>
      </c>
    </row>
  </sheetData>
  <mergeCells count="2">
    <mergeCell ref="C2:H2"/>
    <mergeCell ref="L2:Q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0"/>
  <sheetViews>
    <sheetView zoomScaleNormal="100" workbookViewId="0">
      <selection activeCell="T76" sqref="T76"/>
    </sheetView>
  </sheetViews>
  <sheetFormatPr defaultColWidth="8.85546875" defaultRowHeight="15" x14ac:dyDescent="0.25"/>
  <cols>
    <col min="2" max="2" width="24.7109375" customWidth="1"/>
    <col min="3" max="3" width="11.42578125" bestFit="1" customWidth="1"/>
    <col min="4" max="4" width="12.28515625" customWidth="1"/>
    <col min="5" max="5" width="13.7109375" bestFit="1" customWidth="1"/>
    <col min="6" max="6" width="14.7109375" bestFit="1" customWidth="1"/>
    <col min="7" max="8" width="13.42578125" customWidth="1"/>
    <col min="9" max="9" width="13.85546875" customWidth="1"/>
    <col min="10" max="10" width="15.42578125" customWidth="1"/>
    <col min="11" max="11" width="14.28515625" customWidth="1"/>
    <col min="12" max="12" width="17.42578125" customWidth="1"/>
    <col min="13" max="13" width="18.85546875" bestFit="1" customWidth="1"/>
    <col min="14" max="14" width="19" bestFit="1" customWidth="1"/>
    <col min="15" max="15" width="32.28515625" customWidth="1"/>
    <col min="16" max="16" width="21.5703125" bestFit="1" customWidth="1"/>
    <col min="17" max="17" width="16.85546875" bestFit="1" customWidth="1"/>
    <col min="18" max="18" width="32.28515625" bestFit="1" customWidth="1"/>
    <col min="19" max="19" width="15.42578125" customWidth="1"/>
    <col min="20" max="20" width="14.5703125" customWidth="1"/>
    <col min="21" max="22" width="16.28515625" customWidth="1"/>
    <col min="23" max="23" width="32.28515625" bestFit="1" customWidth="1"/>
    <col min="24" max="24" width="18.7109375" customWidth="1"/>
    <col min="25" max="26" width="15" bestFit="1" customWidth="1"/>
    <col min="27" max="27" width="14.28515625" bestFit="1" customWidth="1"/>
  </cols>
  <sheetData>
    <row r="1" spans="2:22" ht="15.75" thickBot="1" x14ac:dyDescent="0.3">
      <c r="B1" s="103"/>
      <c r="I1" s="155" t="s">
        <v>234</v>
      </c>
      <c r="J1" s="155"/>
      <c r="K1" s="155"/>
      <c r="L1" s="155"/>
      <c r="N1" s="155" t="s">
        <v>235</v>
      </c>
      <c r="O1" s="156"/>
    </row>
    <row r="2" spans="2:22" ht="26.45" customHeight="1" thickBot="1" x14ac:dyDescent="0.3">
      <c r="B2" s="90"/>
      <c r="I2" s="1" t="s">
        <v>236</v>
      </c>
      <c r="J2" s="2" t="s">
        <v>237</v>
      </c>
      <c r="K2" s="2" t="s">
        <v>238</v>
      </c>
      <c r="L2" s="2" t="s">
        <v>239</v>
      </c>
      <c r="N2" s="1" t="s">
        <v>240</v>
      </c>
      <c r="O2" s="3" t="s">
        <v>241</v>
      </c>
    </row>
    <row r="3" spans="2:22" ht="18.600000000000001" customHeight="1" thickBot="1" x14ac:dyDescent="0.3">
      <c r="I3" s="139" t="s">
        <v>242</v>
      </c>
      <c r="J3" s="4">
        <v>150</v>
      </c>
      <c r="K3" s="4">
        <v>110</v>
      </c>
      <c r="L3" s="4">
        <v>25</v>
      </c>
      <c r="N3" s="5" t="s">
        <v>243</v>
      </c>
      <c r="O3" s="6">
        <v>3200000</v>
      </c>
    </row>
    <row r="4" spans="2:22" ht="15.6" customHeight="1" thickBot="1" x14ac:dyDescent="0.3">
      <c r="I4" s="139" t="s">
        <v>244</v>
      </c>
      <c r="J4" s="7">
        <v>140000</v>
      </c>
      <c r="K4" s="7">
        <v>240000</v>
      </c>
      <c r="L4" s="7">
        <v>1050000</v>
      </c>
      <c r="N4" s="139" t="s">
        <v>245</v>
      </c>
      <c r="O4" s="7">
        <v>1800000</v>
      </c>
    </row>
    <row r="5" spans="2:22" ht="16.350000000000001" customHeight="1" thickBot="1" x14ac:dyDescent="0.3">
      <c r="I5" s="139" t="s">
        <v>246</v>
      </c>
      <c r="J5" s="39"/>
      <c r="K5" s="39"/>
      <c r="L5" s="39"/>
      <c r="N5" s="139" t="s">
        <v>247</v>
      </c>
      <c r="O5" s="7">
        <v>320000</v>
      </c>
    </row>
    <row r="6" spans="2:22" ht="28.35" customHeight="1" thickBot="1" x14ac:dyDescent="0.3">
      <c r="I6" s="139" t="s">
        <v>248</v>
      </c>
      <c r="J6" s="7">
        <v>30000</v>
      </c>
      <c r="K6" s="7">
        <v>92000</v>
      </c>
      <c r="L6" s="7">
        <v>310000</v>
      </c>
      <c r="N6" s="139" t="s">
        <v>249</v>
      </c>
      <c r="O6" s="7">
        <v>850000</v>
      </c>
    </row>
    <row r="7" spans="2:22" ht="24.6" customHeight="1" thickBot="1" x14ac:dyDescent="0.3">
      <c r="I7" s="139" t="s">
        <v>250</v>
      </c>
      <c r="J7" s="7">
        <v>54000</v>
      </c>
      <c r="K7" s="7">
        <v>85000</v>
      </c>
      <c r="L7" s="7">
        <v>640000</v>
      </c>
      <c r="N7" s="139" t="s">
        <v>251</v>
      </c>
      <c r="O7" s="7">
        <v>490000</v>
      </c>
    </row>
    <row r="8" spans="2:22" ht="29.45" customHeight="1" thickBot="1" x14ac:dyDescent="0.3">
      <c r="I8" s="146" t="s">
        <v>252</v>
      </c>
      <c r="J8" s="148">
        <v>30000</v>
      </c>
      <c r="K8" s="148">
        <v>30000</v>
      </c>
      <c r="L8" s="148">
        <v>30000</v>
      </c>
      <c r="N8" s="139" t="s">
        <v>253</v>
      </c>
      <c r="O8" s="7">
        <v>1700000</v>
      </c>
    </row>
    <row r="9" spans="2:22" ht="19.350000000000001" customHeight="1" thickBot="1" x14ac:dyDescent="0.3">
      <c r="I9" s="147"/>
      <c r="J9" s="149"/>
      <c r="K9" s="149"/>
      <c r="L9" s="149"/>
      <c r="N9" s="139" t="s">
        <v>254</v>
      </c>
      <c r="O9" s="7">
        <v>190000</v>
      </c>
    </row>
    <row r="10" spans="2:22" ht="41.1" customHeight="1" thickBot="1" x14ac:dyDescent="0.3">
      <c r="I10" s="8" t="s">
        <v>255</v>
      </c>
      <c r="J10" s="7">
        <v>114000</v>
      </c>
      <c r="K10" s="7">
        <v>207000</v>
      </c>
      <c r="L10" s="7">
        <v>980000</v>
      </c>
      <c r="N10" s="139" t="s">
        <v>256</v>
      </c>
      <c r="O10" s="7">
        <v>8550000</v>
      </c>
      <c r="Q10" s="40"/>
    </row>
    <row r="11" spans="2:22" ht="41.1" customHeight="1" thickBot="1" x14ac:dyDescent="0.3">
      <c r="I11" s="139" t="s">
        <v>257</v>
      </c>
      <c r="J11" s="7">
        <v>26000</v>
      </c>
      <c r="K11" s="7">
        <v>33000</v>
      </c>
      <c r="L11" s="7">
        <v>70000</v>
      </c>
      <c r="N11" s="150" t="s">
        <v>258</v>
      </c>
      <c r="O11" s="150"/>
      <c r="T11" s="157"/>
      <c r="U11" s="158"/>
      <c r="V11" s="159"/>
    </row>
    <row r="12" spans="2:22" ht="9" customHeight="1" thickBot="1" x14ac:dyDescent="0.3">
      <c r="I12" s="139"/>
      <c r="J12" s="4"/>
      <c r="K12" s="4"/>
      <c r="L12" s="4"/>
    </row>
    <row r="13" spans="2:22" ht="28.35" customHeight="1" thickBot="1" x14ac:dyDescent="0.3">
      <c r="I13" s="139" t="s">
        <v>259</v>
      </c>
      <c r="J13" s="9">
        <v>1200</v>
      </c>
      <c r="K13" s="9">
        <v>1300</v>
      </c>
      <c r="L13" s="9">
        <v>5940</v>
      </c>
    </row>
    <row r="14" spans="2:22" ht="21" customHeight="1" thickBot="1" x14ac:dyDescent="0.3">
      <c r="I14" s="139" t="s">
        <v>260</v>
      </c>
      <c r="J14" s="10">
        <v>45</v>
      </c>
      <c r="K14" s="10">
        <v>65.38</v>
      </c>
      <c r="L14" s="10">
        <v>107.74</v>
      </c>
    </row>
    <row r="15" spans="2:22" ht="18" customHeight="1" x14ac:dyDescent="0.25"/>
    <row r="16" spans="2:22" x14ac:dyDescent="0.25">
      <c r="I16" s="16" t="s">
        <v>261</v>
      </c>
    </row>
    <row r="17" spans="1:16" x14ac:dyDescent="0.25">
      <c r="H17">
        <v>1</v>
      </c>
      <c r="I17" t="s">
        <v>262</v>
      </c>
    </row>
    <row r="18" spans="1:16" x14ac:dyDescent="0.25">
      <c r="I18" s="19"/>
      <c r="J18" s="19" t="s">
        <v>263</v>
      </c>
      <c r="K18" s="19" t="s">
        <v>264</v>
      </c>
      <c r="L18" s="19" t="s">
        <v>265</v>
      </c>
      <c r="M18" s="19" t="s">
        <v>266</v>
      </c>
    </row>
    <row r="19" spans="1:16" x14ac:dyDescent="0.25">
      <c r="I19" s="19" t="s">
        <v>267</v>
      </c>
      <c r="J19" s="24">
        <f>O10/(K19+K20+K21)</f>
        <v>30000</v>
      </c>
      <c r="K19" s="19">
        <f>J3</f>
        <v>150</v>
      </c>
      <c r="L19" s="24">
        <f>J19*K19</f>
        <v>4500000</v>
      </c>
      <c r="M19" s="46">
        <f>L19/O10</f>
        <v>0.52631578947368418</v>
      </c>
    </row>
    <row r="20" spans="1:16" x14ac:dyDescent="0.25">
      <c r="I20" s="19" t="s">
        <v>268</v>
      </c>
      <c r="J20" s="24">
        <f>O10/(K19+K20+K21)</f>
        <v>30000</v>
      </c>
      <c r="K20" s="19">
        <f>K3</f>
        <v>110</v>
      </c>
      <c r="L20" s="24">
        <f>J20*K20</f>
        <v>3300000</v>
      </c>
      <c r="M20" s="46">
        <f>L20/O10</f>
        <v>0.38596491228070173</v>
      </c>
    </row>
    <row r="21" spans="1:16" x14ac:dyDescent="0.25">
      <c r="I21" s="19" t="s">
        <v>269</v>
      </c>
      <c r="J21" s="24">
        <f>O10/(K19+K20+K21)</f>
        <v>30000</v>
      </c>
      <c r="K21" s="19">
        <f>L3</f>
        <v>25</v>
      </c>
      <c r="L21" s="24">
        <f>J21*K21</f>
        <v>750000</v>
      </c>
      <c r="M21" s="46">
        <f>L21/O10</f>
        <v>8.771929824561403E-2</v>
      </c>
    </row>
    <row r="23" spans="1:16" x14ac:dyDescent="0.25">
      <c r="H23">
        <v>2</v>
      </c>
      <c r="I23" s="19"/>
      <c r="J23" s="19" t="s">
        <v>270</v>
      </c>
      <c r="K23" s="19" t="s">
        <v>271</v>
      </c>
      <c r="L23" s="19" t="s">
        <v>272</v>
      </c>
      <c r="M23" s="19" t="s">
        <v>273</v>
      </c>
      <c r="N23" s="19" t="s">
        <v>274</v>
      </c>
      <c r="O23" s="19" t="s">
        <v>275</v>
      </c>
      <c r="P23" s="21" t="s">
        <v>276</v>
      </c>
    </row>
    <row r="24" spans="1:16" x14ac:dyDescent="0.25">
      <c r="I24" s="19" t="s">
        <v>267</v>
      </c>
      <c r="J24" s="26">
        <f>J13</f>
        <v>1200</v>
      </c>
      <c r="K24" s="19">
        <f>J3</f>
        <v>150</v>
      </c>
      <c r="L24" s="19">
        <f>J24*K24</f>
        <v>180000</v>
      </c>
      <c r="M24" s="47">
        <f>L24*J14</f>
        <v>8100000</v>
      </c>
      <c r="N24" s="20">
        <f>M24/K24</f>
        <v>54000</v>
      </c>
      <c r="O24" s="46">
        <f>M24/$M$27</f>
        <v>0.24216166054735114</v>
      </c>
      <c r="P24" s="21">
        <f>$O$10*O24/K24</f>
        <v>13803.214651199014</v>
      </c>
    </row>
    <row r="25" spans="1:16" x14ac:dyDescent="0.25">
      <c r="I25" s="19" t="s">
        <v>268</v>
      </c>
      <c r="J25" s="26">
        <f>K13</f>
        <v>1300</v>
      </c>
      <c r="K25" s="19">
        <f>K3</f>
        <v>110</v>
      </c>
      <c r="L25" s="19">
        <f t="shared" ref="L25" si="0">J25*K25</f>
        <v>143000</v>
      </c>
      <c r="M25" s="47">
        <f>L25*K14</f>
        <v>9349340</v>
      </c>
      <c r="N25" s="20">
        <f t="shared" ref="N25:N26" si="1">M25/K25</f>
        <v>84994</v>
      </c>
      <c r="O25" s="46">
        <f t="shared" ref="O25:O26" si="2">M25/$M$27</f>
        <v>0.27951255548416937</v>
      </c>
      <c r="P25" s="21">
        <f t="shared" ref="P25:P26" si="3">$O$10*O25/K25</f>
        <v>21725.748630814982</v>
      </c>
    </row>
    <row r="26" spans="1:16" x14ac:dyDescent="0.25">
      <c r="I26" s="19" t="s">
        <v>269</v>
      </c>
      <c r="J26" s="26">
        <f>L13</f>
        <v>5940</v>
      </c>
      <c r="K26" s="19">
        <f>L3</f>
        <v>25</v>
      </c>
      <c r="L26" s="19">
        <f>J26*K26</f>
        <v>148500</v>
      </c>
      <c r="M26" s="47">
        <f>L26*L14</f>
        <v>15999390</v>
      </c>
      <c r="N26" s="20">
        <f t="shared" si="1"/>
        <v>639975.6</v>
      </c>
      <c r="O26" s="46">
        <f t="shared" si="2"/>
        <v>0.47832578396847952</v>
      </c>
      <c r="P26" s="21">
        <f t="shared" si="3"/>
        <v>163587.41811721999</v>
      </c>
    </row>
    <row r="27" spans="1:16" x14ac:dyDescent="0.25">
      <c r="I27" s="19" t="s">
        <v>277</v>
      </c>
      <c r="J27" s="26">
        <f t="shared" ref="J27:P27" si="4">SUM(J24:J26)</f>
        <v>8440</v>
      </c>
      <c r="K27" s="19">
        <f t="shared" si="4"/>
        <v>285</v>
      </c>
      <c r="L27" s="19">
        <f t="shared" si="4"/>
        <v>471500</v>
      </c>
      <c r="M27" s="47">
        <f t="shared" si="4"/>
        <v>33448730</v>
      </c>
      <c r="N27" s="20">
        <f t="shared" si="4"/>
        <v>778969.59999999998</v>
      </c>
      <c r="O27" s="64">
        <f t="shared" si="4"/>
        <v>1</v>
      </c>
      <c r="P27" s="21">
        <f t="shared" si="4"/>
        <v>199116.381399234</v>
      </c>
    </row>
    <row r="32" spans="1:16" ht="15.75" thickBot="1" x14ac:dyDescent="0.3">
      <c r="A32" s="11" t="s">
        <v>278</v>
      </c>
      <c r="B32" s="11"/>
      <c r="C32" s="11"/>
      <c r="D32" s="11"/>
      <c r="E32" s="11"/>
      <c r="F32" s="11"/>
      <c r="G32" s="11"/>
      <c r="H32" s="11"/>
      <c r="I32" s="11"/>
      <c r="J32" s="11"/>
      <c r="K32" s="11"/>
      <c r="L32" s="11"/>
      <c r="M32" s="11"/>
    </row>
    <row r="33" spans="1:13" ht="25.35" customHeight="1" x14ac:dyDescent="0.25">
      <c r="A33" s="11"/>
      <c r="B33" s="167" t="s">
        <v>252</v>
      </c>
      <c r="C33" s="151" t="s">
        <v>279</v>
      </c>
      <c r="D33" s="151" t="s">
        <v>280</v>
      </c>
      <c r="E33" s="151" t="s">
        <v>237</v>
      </c>
      <c r="F33" s="151" t="s">
        <v>238</v>
      </c>
      <c r="G33" s="151" t="s">
        <v>239</v>
      </c>
      <c r="H33" s="151" t="s">
        <v>281</v>
      </c>
      <c r="I33" s="151" t="s">
        <v>282</v>
      </c>
      <c r="J33" s="151" t="s">
        <v>283</v>
      </c>
      <c r="K33" s="151" t="s">
        <v>284</v>
      </c>
      <c r="L33" s="151" t="s">
        <v>285</v>
      </c>
      <c r="M33" s="151" t="s">
        <v>286</v>
      </c>
    </row>
    <row r="34" spans="1:13" ht="16.5" customHeight="1" x14ac:dyDescent="0.25">
      <c r="A34" s="11"/>
      <c r="B34" s="160"/>
      <c r="C34" s="160"/>
      <c r="D34" s="160"/>
      <c r="E34" s="160"/>
      <c r="F34" s="160"/>
      <c r="G34" s="160"/>
      <c r="H34" s="152"/>
      <c r="I34" s="152"/>
      <c r="J34" s="152"/>
      <c r="K34" s="152"/>
      <c r="L34" s="152"/>
      <c r="M34" s="152"/>
    </row>
    <row r="35" spans="1:13" ht="16.5" customHeight="1" x14ac:dyDescent="0.25">
      <c r="A35" s="11"/>
      <c r="B35" s="151" t="s">
        <v>243</v>
      </c>
      <c r="C35" s="168">
        <v>3200000</v>
      </c>
      <c r="D35" s="151" t="s">
        <v>287</v>
      </c>
      <c r="E35" s="153">
        <v>50000</v>
      </c>
      <c r="F35" s="153">
        <v>30000</v>
      </c>
      <c r="G35" s="153">
        <v>30000</v>
      </c>
      <c r="H35" s="161">
        <f>E35+F35+G35</f>
        <v>110000</v>
      </c>
      <c r="I35" s="163">
        <f>C35/H35</f>
        <v>29.09090909090909</v>
      </c>
      <c r="J35" s="163">
        <f>(I35*E35)</f>
        <v>1454545.4545454546</v>
      </c>
      <c r="K35" s="163">
        <f>(I35*F35)</f>
        <v>872727.27272727271</v>
      </c>
      <c r="L35" s="163">
        <f>(I35*G35)</f>
        <v>872727.27272727271</v>
      </c>
      <c r="M35" s="15">
        <f t="shared" ref="M35:M49" si="5">SUM(J35:L35)</f>
        <v>3200000</v>
      </c>
    </row>
    <row r="36" spans="1:13" ht="16.5" customHeight="1" x14ac:dyDescent="0.25">
      <c r="A36" s="11"/>
      <c r="B36" s="152"/>
      <c r="C36" s="169"/>
      <c r="D36" s="160"/>
      <c r="E36" s="154"/>
      <c r="F36" s="154"/>
      <c r="G36" s="154"/>
      <c r="H36" s="162"/>
      <c r="I36" s="164"/>
      <c r="J36" s="164"/>
      <c r="K36" s="164"/>
      <c r="L36" s="164"/>
      <c r="M36" s="15">
        <f t="shared" si="5"/>
        <v>0</v>
      </c>
    </row>
    <row r="37" spans="1:13" x14ac:dyDescent="0.25">
      <c r="A37" s="11"/>
      <c r="B37" s="151" t="s">
        <v>245</v>
      </c>
      <c r="C37" s="168">
        <v>1800000</v>
      </c>
      <c r="D37" s="151" t="s">
        <v>259</v>
      </c>
      <c r="E37" s="153">
        <v>180000</v>
      </c>
      <c r="F37" s="153">
        <v>143000</v>
      </c>
      <c r="G37" s="153">
        <v>148500</v>
      </c>
      <c r="H37" s="153">
        <f>E37+F37+G37</f>
        <v>471500</v>
      </c>
      <c r="I37" s="170">
        <f>C37/H37</f>
        <v>3.8176033934252387</v>
      </c>
      <c r="J37" s="170">
        <f>(I37*E37)</f>
        <v>687168.61081654299</v>
      </c>
      <c r="K37" s="170">
        <f>(I37*F37)</f>
        <v>545917.28525980911</v>
      </c>
      <c r="L37" s="170">
        <f>(I37*G37)</f>
        <v>566914.1039236479</v>
      </c>
      <c r="M37" s="15">
        <f t="shared" si="5"/>
        <v>1800000</v>
      </c>
    </row>
    <row r="38" spans="1:13" x14ac:dyDescent="0.25">
      <c r="A38" s="11"/>
      <c r="B38" s="165"/>
      <c r="C38" s="173"/>
      <c r="D38" s="165"/>
      <c r="E38" s="166"/>
      <c r="F38" s="166"/>
      <c r="G38" s="166"/>
      <c r="H38" s="166"/>
      <c r="I38" s="171"/>
      <c r="J38" s="171"/>
      <c r="K38" s="171"/>
      <c r="L38" s="171"/>
      <c r="M38" s="15">
        <f t="shared" si="5"/>
        <v>0</v>
      </c>
    </row>
    <row r="39" spans="1:13" ht="15.6" customHeight="1" x14ac:dyDescent="0.25">
      <c r="A39" s="11"/>
      <c r="B39" s="152"/>
      <c r="C39" s="169"/>
      <c r="D39" s="152"/>
      <c r="E39" s="154"/>
      <c r="F39" s="154"/>
      <c r="G39" s="154"/>
      <c r="H39" s="154"/>
      <c r="I39" s="172"/>
      <c r="J39" s="172"/>
      <c r="K39" s="172"/>
      <c r="L39" s="172"/>
      <c r="M39" s="15">
        <f t="shared" si="5"/>
        <v>0</v>
      </c>
    </row>
    <row r="40" spans="1:13" x14ac:dyDescent="0.25">
      <c r="A40" s="11"/>
      <c r="B40" s="151" t="s">
        <v>247</v>
      </c>
      <c r="C40" s="168">
        <v>320000</v>
      </c>
      <c r="D40" s="151" t="s">
        <v>288</v>
      </c>
      <c r="E40" s="153">
        <v>2500</v>
      </c>
      <c r="F40" s="153">
        <v>1500</v>
      </c>
      <c r="G40" s="153">
        <v>9000</v>
      </c>
      <c r="H40" s="153">
        <f>E40+F40+G40</f>
        <v>13000</v>
      </c>
      <c r="I40" s="170">
        <f>C40/H40</f>
        <v>24.615384615384617</v>
      </c>
      <c r="J40" s="170">
        <f>(I40*E40)</f>
        <v>61538.461538461539</v>
      </c>
      <c r="K40" s="170">
        <f>(I40*F40)</f>
        <v>36923.076923076922</v>
      </c>
      <c r="L40" s="170">
        <f>(I40*G40)</f>
        <v>221538.46153846156</v>
      </c>
      <c r="M40" s="15">
        <f t="shared" si="5"/>
        <v>320000</v>
      </c>
    </row>
    <row r="41" spans="1:13" x14ac:dyDescent="0.25">
      <c r="A41" s="11"/>
      <c r="B41" s="165"/>
      <c r="C41" s="173"/>
      <c r="D41" s="165"/>
      <c r="E41" s="166"/>
      <c r="F41" s="166"/>
      <c r="G41" s="166"/>
      <c r="H41" s="166"/>
      <c r="I41" s="171"/>
      <c r="J41" s="171"/>
      <c r="K41" s="171"/>
      <c r="L41" s="171"/>
      <c r="M41" s="15">
        <f t="shared" si="5"/>
        <v>0</v>
      </c>
    </row>
    <row r="42" spans="1:13" ht="15.6" customHeight="1" x14ac:dyDescent="0.25">
      <c r="A42" s="11"/>
      <c r="B42" s="152"/>
      <c r="C42" s="169"/>
      <c r="D42" s="152"/>
      <c r="E42" s="154"/>
      <c r="F42" s="154"/>
      <c r="G42" s="154"/>
      <c r="H42" s="154"/>
      <c r="I42" s="172"/>
      <c r="J42" s="172"/>
      <c r="K42" s="172"/>
      <c r="L42" s="172"/>
      <c r="M42" s="15">
        <f t="shared" si="5"/>
        <v>0</v>
      </c>
    </row>
    <row r="43" spans="1:13" x14ac:dyDescent="0.25">
      <c r="A43" s="11"/>
      <c r="B43" s="140" t="s">
        <v>249</v>
      </c>
      <c r="C43" s="168">
        <v>850000</v>
      </c>
      <c r="D43" s="151" t="s">
        <v>289</v>
      </c>
      <c r="E43" s="153">
        <v>1000</v>
      </c>
      <c r="F43" s="151">
        <v>850</v>
      </c>
      <c r="G43" s="153">
        <v>3500</v>
      </c>
      <c r="H43" s="153">
        <f>E43+F43+G43</f>
        <v>5350</v>
      </c>
      <c r="I43" s="170">
        <f>C43/H43</f>
        <v>158.87850467289721</v>
      </c>
      <c r="J43" s="170">
        <f>(I43*E43)</f>
        <v>158878.50467289719</v>
      </c>
      <c r="K43" s="170">
        <f>(I43*F43)</f>
        <v>135046.72897196261</v>
      </c>
      <c r="L43" s="170">
        <f>(I43*G43)</f>
        <v>556074.76635514025</v>
      </c>
      <c r="M43" s="15">
        <f t="shared" si="5"/>
        <v>850000</v>
      </c>
    </row>
    <row r="44" spans="1:13" x14ac:dyDescent="0.25">
      <c r="A44" s="11"/>
      <c r="B44" s="141"/>
      <c r="C44" s="169"/>
      <c r="D44" s="152"/>
      <c r="E44" s="154"/>
      <c r="F44" s="152"/>
      <c r="G44" s="154"/>
      <c r="H44" s="154"/>
      <c r="I44" s="172"/>
      <c r="J44" s="172"/>
      <c r="K44" s="172"/>
      <c r="L44" s="172"/>
      <c r="M44" s="15">
        <f t="shared" si="5"/>
        <v>0</v>
      </c>
    </row>
    <row r="45" spans="1:13" x14ac:dyDescent="0.25">
      <c r="A45" s="11"/>
      <c r="B45" s="142" t="s">
        <v>290</v>
      </c>
      <c r="C45" s="168">
        <v>490000</v>
      </c>
      <c r="D45" s="151" t="s">
        <v>291</v>
      </c>
      <c r="E45" s="151">
        <v>150</v>
      </c>
      <c r="F45" s="151">
        <v>110</v>
      </c>
      <c r="G45" s="151">
        <v>25</v>
      </c>
      <c r="H45" s="151">
        <f>E45+F45+G45</f>
        <v>285</v>
      </c>
      <c r="I45" s="170">
        <f>C45/H45</f>
        <v>1719.2982456140351</v>
      </c>
      <c r="J45" s="170">
        <f>(I45*E45)</f>
        <v>257894.73684210525</v>
      </c>
      <c r="K45" s="170">
        <f>(I45*F45)</f>
        <v>189122.80701754385</v>
      </c>
      <c r="L45" s="170">
        <f>(I45*G45)</f>
        <v>42982.456140350878</v>
      </c>
      <c r="M45" s="15">
        <f t="shared" si="5"/>
        <v>490000</v>
      </c>
    </row>
    <row r="46" spans="1:13" ht="41.45" customHeight="1" x14ac:dyDescent="0.25">
      <c r="A46" s="11"/>
      <c r="B46" s="141" t="s">
        <v>292</v>
      </c>
      <c r="C46" s="169"/>
      <c r="D46" s="152"/>
      <c r="E46" s="152"/>
      <c r="F46" s="152"/>
      <c r="G46" s="152"/>
      <c r="H46" s="152"/>
      <c r="I46" s="172"/>
      <c r="J46" s="172"/>
      <c r="K46" s="172"/>
      <c r="L46" s="172"/>
      <c r="M46" s="15">
        <f t="shared" si="5"/>
        <v>0</v>
      </c>
    </row>
    <row r="47" spans="1:13" ht="30" x14ac:dyDescent="0.25">
      <c r="A47" s="11"/>
      <c r="B47" s="141" t="s">
        <v>253</v>
      </c>
      <c r="C47" s="12">
        <v>1700000</v>
      </c>
      <c r="D47" s="13" t="s">
        <v>289</v>
      </c>
      <c r="E47" s="14">
        <v>1000</v>
      </c>
      <c r="F47" s="13">
        <v>850</v>
      </c>
      <c r="G47" s="14">
        <f>G43</f>
        <v>3500</v>
      </c>
      <c r="H47" s="43">
        <f>E47+F47+G47</f>
        <v>5350</v>
      </c>
      <c r="I47" s="37">
        <f>C47/H47</f>
        <v>317.75700934579442</v>
      </c>
      <c r="J47" s="37">
        <f>(I47*E47)</f>
        <v>317757.00934579439</v>
      </c>
      <c r="K47" s="37">
        <f>(I47*F47)</f>
        <v>270093.45794392523</v>
      </c>
      <c r="L47" s="37">
        <f>(I47*G47)</f>
        <v>1112149.5327102805</v>
      </c>
      <c r="M47" s="15">
        <f t="shared" si="5"/>
        <v>1700000</v>
      </c>
    </row>
    <row r="48" spans="1:13" x14ac:dyDescent="0.25">
      <c r="A48" s="11"/>
      <c r="B48" s="151" t="s">
        <v>254</v>
      </c>
      <c r="C48" s="168">
        <v>190000</v>
      </c>
      <c r="D48" s="151" t="s">
        <v>291</v>
      </c>
      <c r="E48" s="151">
        <v>150</v>
      </c>
      <c r="F48" s="151">
        <v>110</v>
      </c>
      <c r="G48" s="151">
        <v>25</v>
      </c>
      <c r="H48" s="151">
        <f>E48+F48+G48</f>
        <v>285</v>
      </c>
      <c r="I48" s="170">
        <f>C48/H48</f>
        <v>666.66666666666663</v>
      </c>
      <c r="J48" s="170">
        <f>(I48*E48)</f>
        <v>100000</v>
      </c>
      <c r="K48" s="170">
        <f>(I48*F48)</f>
        <v>73333.333333333328</v>
      </c>
      <c r="L48" s="170">
        <f>(I48*G48)</f>
        <v>16666.666666666664</v>
      </c>
      <c r="M48" s="15">
        <f t="shared" si="5"/>
        <v>189999.99999999997</v>
      </c>
    </row>
    <row r="49" spans="1:27" ht="27" customHeight="1" x14ac:dyDescent="0.25">
      <c r="A49" s="11"/>
      <c r="B49" s="152"/>
      <c r="C49" s="169"/>
      <c r="D49" s="160"/>
      <c r="E49" s="152"/>
      <c r="F49" s="152"/>
      <c r="G49" s="152"/>
      <c r="H49" s="152"/>
      <c r="I49" s="172"/>
      <c r="J49" s="172"/>
      <c r="K49" s="172"/>
      <c r="L49" s="172"/>
      <c r="M49" s="15">
        <f t="shared" si="5"/>
        <v>0</v>
      </c>
    </row>
    <row r="50" spans="1:27" x14ac:dyDescent="0.25">
      <c r="A50" s="11"/>
      <c r="B50" s="141" t="s">
        <v>293</v>
      </c>
      <c r="C50" s="12">
        <v>8550000</v>
      </c>
      <c r="D50" s="44"/>
      <c r="E50" s="14">
        <f>SUM(E35:E49)</f>
        <v>234800</v>
      </c>
      <c r="F50" s="14">
        <f t="shared" ref="F50:H50" si="6">SUM(F35:F49)</f>
        <v>176420</v>
      </c>
      <c r="G50" s="14">
        <f t="shared" si="6"/>
        <v>194550</v>
      </c>
      <c r="H50" s="14">
        <f t="shared" si="6"/>
        <v>605770</v>
      </c>
      <c r="I50" s="14">
        <f>SUM(I35:I49)</f>
        <v>2920.1243233991122</v>
      </c>
      <c r="J50" s="14">
        <f>SUM(J35:J49)</f>
        <v>3037782.7777612559</v>
      </c>
      <c r="K50" s="14">
        <f>SUM(K35:K49)</f>
        <v>2123163.9621769236</v>
      </c>
      <c r="L50" s="14">
        <f>SUM(L35:L49)</f>
        <v>3389053.2600618205</v>
      </c>
      <c r="M50" s="15">
        <f>SUM(J50:L50)</f>
        <v>8550000</v>
      </c>
    </row>
    <row r="51" spans="1:27" x14ac:dyDescent="0.25">
      <c r="A51" s="11"/>
      <c r="B51" s="11"/>
      <c r="C51" s="11"/>
      <c r="D51" s="11"/>
      <c r="E51" s="11"/>
      <c r="F51" s="11"/>
      <c r="G51" s="11"/>
      <c r="H51" s="11"/>
      <c r="I51" s="11"/>
      <c r="J51" s="11"/>
      <c r="K51" s="11"/>
      <c r="L51" s="11"/>
      <c r="M51" s="11"/>
    </row>
    <row r="52" spans="1:27" x14ac:dyDescent="0.25">
      <c r="O52" s="17" t="s">
        <v>294</v>
      </c>
      <c r="S52" t="s">
        <v>295</v>
      </c>
      <c r="X52" t="s">
        <v>296</v>
      </c>
    </row>
    <row r="53" spans="1:27" x14ac:dyDescent="0.25">
      <c r="N53">
        <v>3</v>
      </c>
      <c r="O53" s="49" t="s">
        <v>240</v>
      </c>
      <c r="P53" s="49" t="s">
        <v>241</v>
      </c>
      <c r="R53" t="s">
        <v>297</v>
      </c>
      <c r="S53" s="19" t="s">
        <v>267</v>
      </c>
      <c r="T53" s="19" t="s">
        <v>268</v>
      </c>
      <c r="U53" s="19" t="s">
        <v>269</v>
      </c>
      <c r="V53" s="19" t="s">
        <v>277</v>
      </c>
      <c r="X53" s="19" t="s">
        <v>267</v>
      </c>
      <c r="Y53" s="19" t="s">
        <v>268</v>
      </c>
      <c r="Z53" s="19" t="s">
        <v>269</v>
      </c>
      <c r="AA53" s="19" t="s">
        <v>277</v>
      </c>
    </row>
    <row r="54" spans="1:27" x14ac:dyDescent="0.25">
      <c r="O54" t="s">
        <v>243</v>
      </c>
      <c r="P54" s="69">
        <v>3200000</v>
      </c>
      <c r="R54" t="s">
        <v>298</v>
      </c>
      <c r="S54" s="71">
        <f>E35</f>
        <v>50000</v>
      </c>
      <c r="T54" s="71">
        <f>F35</f>
        <v>30000</v>
      </c>
      <c r="U54" s="71">
        <f>G35</f>
        <v>30000</v>
      </c>
      <c r="V54" s="71">
        <f>SUM(S54:U54)</f>
        <v>110000</v>
      </c>
      <c r="X54" s="21">
        <f>I35*E35</f>
        <v>1454545.4545454546</v>
      </c>
      <c r="Y54" s="21">
        <f>I35*F35</f>
        <v>872727.27272727271</v>
      </c>
      <c r="Z54" s="21">
        <f>I35*G35</f>
        <v>872727.27272727271</v>
      </c>
      <c r="AA54" s="21">
        <f>SUM(X54:Z54)</f>
        <v>3200000</v>
      </c>
    </row>
    <row r="55" spans="1:27" x14ac:dyDescent="0.25">
      <c r="O55" t="s">
        <v>245</v>
      </c>
      <c r="P55" s="67">
        <f t="shared" ref="P55:P60" si="7">O4</f>
        <v>1800000</v>
      </c>
      <c r="R55" t="s">
        <v>299</v>
      </c>
      <c r="S55" s="71">
        <f>E37</f>
        <v>180000</v>
      </c>
      <c r="T55" s="71">
        <f>F37</f>
        <v>143000</v>
      </c>
      <c r="U55" s="71">
        <f>G37</f>
        <v>148500</v>
      </c>
      <c r="V55" s="71">
        <f t="shared" ref="V55:V60" si="8">SUM(S55:U55)</f>
        <v>471500</v>
      </c>
      <c r="X55" s="21">
        <f>I37*E37</f>
        <v>687168.61081654299</v>
      </c>
      <c r="Y55" s="21">
        <f>I37*F37</f>
        <v>545917.28525980911</v>
      </c>
      <c r="Z55" s="21">
        <f>I37*G37</f>
        <v>566914.1039236479</v>
      </c>
      <c r="AA55" s="21">
        <f t="shared" ref="AA55:AA60" si="9">SUM(X55:Z55)</f>
        <v>1800000</v>
      </c>
    </row>
    <row r="56" spans="1:27" x14ac:dyDescent="0.25">
      <c r="O56" t="s">
        <v>247</v>
      </c>
      <c r="P56" s="67">
        <f t="shared" si="7"/>
        <v>320000</v>
      </c>
      <c r="R56" t="s">
        <v>300</v>
      </c>
      <c r="S56" s="71">
        <f>E40</f>
        <v>2500</v>
      </c>
      <c r="T56" s="71">
        <f>F40</f>
        <v>1500</v>
      </c>
      <c r="U56" s="71">
        <f>G40</f>
        <v>9000</v>
      </c>
      <c r="V56" s="71">
        <f t="shared" si="8"/>
        <v>13000</v>
      </c>
      <c r="X56" s="21">
        <f>I40*E40</f>
        <v>61538.461538461539</v>
      </c>
      <c r="Y56" s="21">
        <f>I40*F40</f>
        <v>36923.076923076922</v>
      </c>
      <c r="Z56" s="21">
        <f>I40*G40</f>
        <v>221538.46153846156</v>
      </c>
      <c r="AA56" s="21">
        <f t="shared" si="9"/>
        <v>320000</v>
      </c>
    </row>
    <row r="57" spans="1:27" x14ac:dyDescent="0.25">
      <c r="O57" t="s">
        <v>249</v>
      </c>
      <c r="P57" s="67">
        <f t="shared" si="7"/>
        <v>850000</v>
      </c>
      <c r="R57" t="s">
        <v>289</v>
      </c>
      <c r="S57" s="71">
        <f>E43</f>
        <v>1000</v>
      </c>
      <c r="T57" s="71">
        <f>F43</f>
        <v>850</v>
      </c>
      <c r="U57" s="71">
        <f>G43</f>
        <v>3500</v>
      </c>
      <c r="V57" s="71">
        <f t="shared" si="8"/>
        <v>5350</v>
      </c>
      <c r="X57" s="21">
        <f>I43*E43</f>
        <v>158878.50467289719</v>
      </c>
      <c r="Y57" s="21">
        <f>I43*F43</f>
        <v>135046.72897196261</v>
      </c>
      <c r="Z57" s="21">
        <f>I43*G43</f>
        <v>556074.76635514025</v>
      </c>
      <c r="AA57" s="21">
        <f t="shared" si="9"/>
        <v>850000</v>
      </c>
    </row>
    <row r="58" spans="1:27" x14ac:dyDescent="0.25">
      <c r="O58" t="s">
        <v>251</v>
      </c>
      <c r="P58" s="67">
        <f t="shared" si="7"/>
        <v>490000</v>
      </c>
      <c r="R58" t="s">
        <v>301</v>
      </c>
      <c r="S58" s="71">
        <f>E45</f>
        <v>150</v>
      </c>
      <c r="T58" s="71">
        <f>F45</f>
        <v>110</v>
      </c>
      <c r="U58" s="71">
        <f>G45</f>
        <v>25</v>
      </c>
      <c r="V58" s="71">
        <f t="shared" si="8"/>
        <v>285</v>
      </c>
      <c r="X58" s="21">
        <f>I45*E45</f>
        <v>257894.73684210525</v>
      </c>
      <c r="Y58" s="21">
        <f>I45*F45</f>
        <v>189122.80701754385</v>
      </c>
      <c r="Z58" s="21">
        <f>I45*G45</f>
        <v>42982.456140350878</v>
      </c>
      <c r="AA58" s="21">
        <f t="shared" si="9"/>
        <v>490000</v>
      </c>
    </row>
    <row r="59" spans="1:27" x14ac:dyDescent="0.25">
      <c r="O59" t="s">
        <v>253</v>
      </c>
      <c r="P59" s="67">
        <f t="shared" si="7"/>
        <v>1700000</v>
      </c>
      <c r="R59" t="s">
        <v>289</v>
      </c>
      <c r="S59" s="71">
        <f t="shared" ref="S59:U60" si="10">E47</f>
        <v>1000</v>
      </c>
      <c r="T59" s="71">
        <f t="shared" si="10"/>
        <v>850</v>
      </c>
      <c r="U59" s="71">
        <f t="shared" si="10"/>
        <v>3500</v>
      </c>
      <c r="V59" s="71">
        <f t="shared" si="8"/>
        <v>5350</v>
      </c>
      <c r="X59" s="21">
        <f>I47*E47</f>
        <v>317757.00934579439</v>
      </c>
      <c r="Y59" s="21">
        <f>I47*F47</f>
        <v>270093.45794392523</v>
      </c>
      <c r="Z59" s="21">
        <f>I47*G47</f>
        <v>1112149.5327102805</v>
      </c>
      <c r="AA59" s="21">
        <f t="shared" si="9"/>
        <v>1700000</v>
      </c>
    </row>
    <row r="60" spans="1:27" x14ac:dyDescent="0.25">
      <c r="O60" t="s">
        <v>254</v>
      </c>
      <c r="P60" s="68">
        <f t="shared" si="7"/>
        <v>190000</v>
      </c>
      <c r="R60" t="s">
        <v>301</v>
      </c>
      <c r="S60" s="71">
        <f t="shared" si="10"/>
        <v>150</v>
      </c>
      <c r="T60" s="71">
        <f t="shared" si="10"/>
        <v>110</v>
      </c>
      <c r="U60" s="71">
        <f t="shared" si="10"/>
        <v>25</v>
      </c>
      <c r="V60" s="71">
        <f t="shared" si="8"/>
        <v>285</v>
      </c>
      <c r="X60" s="51">
        <f>I48*E48</f>
        <v>100000</v>
      </c>
      <c r="Y60" s="51">
        <f>I48*F48</f>
        <v>73333.333333333328</v>
      </c>
      <c r="Z60" s="51">
        <f>I48*G48</f>
        <v>16666.666666666664</v>
      </c>
      <c r="AA60" s="21">
        <f t="shared" si="9"/>
        <v>189999.99999999997</v>
      </c>
    </row>
    <row r="61" spans="1:27" x14ac:dyDescent="0.25">
      <c r="O61" t="s">
        <v>256</v>
      </c>
      <c r="P61" s="70">
        <f>SUM(P54:P60)</f>
        <v>8550000</v>
      </c>
      <c r="R61" t="s">
        <v>256</v>
      </c>
      <c r="S61" s="72">
        <f>SUM(S54:S60)</f>
        <v>234800</v>
      </c>
      <c r="T61" s="72">
        <f>SUM(T54:T60)</f>
        <v>176420</v>
      </c>
      <c r="U61" s="72">
        <f>SUM(U54:U60)</f>
        <v>194550</v>
      </c>
      <c r="V61" s="72">
        <f>SUM(V54:V60)</f>
        <v>605770</v>
      </c>
      <c r="W61" t="s">
        <v>256</v>
      </c>
      <c r="X61" s="50">
        <f>SUM(X54:X60)</f>
        <v>3037782.7777612559</v>
      </c>
      <c r="Y61" s="50">
        <f t="shared" ref="Y61:AA61" si="11">SUM(Y54:Y60)</f>
        <v>2123163.9621769236</v>
      </c>
      <c r="Z61" s="50">
        <f t="shared" si="11"/>
        <v>3389053.2600618205</v>
      </c>
      <c r="AA61" s="50">
        <f t="shared" si="11"/>
        <v>8550000</v>
      </c>
    </row>
    <row r="63" spans="1:27" x14ac:dyDescent="0.25">
      <c r="N63">
        <v>4</v>
      </c>
      <c r="O63" t="s">
        <v>302</v>
      </c>
      <c r="P63" s="67">
        <f>L6</f>
        <v>310000</v>
      </c>
    </row>
    <row r="64" spans="1:27" x14ac:dyDescent="0.25">
      <c r="O64" t="s">
        <v>303</v>
      </c>
      <c r="P64" s="67">
        <f>L7</f>
        <v>640000</v>
      </c>
    </row>
    <row r="65" spans="14:20" x14ac:dyDescent="0.25">
      <c r="O65" t="s">
        <v>304</v>
      </c>
      <c r="P65" s="42">
        <f>Z61/25</f>
        <v>135562.13040247283</v>
      </c>
    </row>
    <row r="66" spans="14:20" x14ac:dyDescent="0.25">
      <c r="O66" t="s">
        <v>305</v>
      </c>
      <c r="P66" s="67">
        <f>SUM(P63:P65)</f>
        <v>1085562.1304024728</v>
      </c>
    </row>
    <row r="68" spans="14:20" x14ac:dyDescent="0.25">
      <c r="N68">
        <v>5</v>
      </c>
      <c r="O68" s="77"/>
    </row>
    <row r="70" spans="14:20" x14ac:dyDescent="0.25">
      <c r="P70" s="45"/>
    </row>
    <row r="71" spans="14:20" x14ac:dyDescent="0.25">
      <c r="P71" s="41"/>
    </row>
    <row r="72" spans="14:20" ht="114.6" customHeight="1" x14ac:dyDescent="0.25">
      <c r="N72">
        <v>6</v>
      </c>
      <c r="O72" s="77"/>
      <c r="P72" s="41"/>
    </row>
    <row r="73" spans="14:20" x14ac:dyDescent="0.25">
      <c r="P73" s="41"/>
    </row>
    <row r="74" spans="14:20" x14ac:dyDescent="0.25">
      <c r="O74" s="73"/>
      <c r="P74" s="73" t="s">
        <v>306</v>
      </c>
      <c r="Q74" s="73" t="s">
        <v>268</v>
      </c>
      <c r="R74" s="73" t="s">
        <v>269</v>
      </c>
    </row>
    <row r="75" spans="14:20" x14ac:dyDescent="0.25">
      <c r="O75" s="73" t="s">
        <v>307</v>
      </c>
      <c r="P75" s="74">
        <v>30000</v>
      </c>
      <c r="Q75" s="75">
        <v>92000</v>
      </c>
      <c r="R75" s="75">
        <v>310000</v>
      </c>
    </row>
    <row r="76" spans="14:20" x14ac:dyDescent="0.25">
      <c r="O76" s="73" t="s">
        <v>303</v>
      </c>
      <c r="P76" s="75">
        <v>54000</v>
      </c>
      <c r="Q76" s="75">
        <v>85000</v>
      </c>
      <c r="R76" s="74">
        <v>640000</v>
      </c>
      <c r="S76" t="s">
        <v>308</v>
      </c>
      <c r="T76" s="41">
        <f>R78/(1-P79)</f>
        <v>1457802.8779675616</v>
      </c>
    </row>
    <row r="77" spans="14:20" x14ac:dyDescent="0.25">
      <c r="O77" s="130" t="s">
        <v>304</v>
      </c>
      <c r="P77" s="131">
        <f>X61/S60</f>
        <v>20251.88518507504</v>
      </c>
      <c r="Q77" s="131">
        <f>Y61/T60</f>
        <v>19301.49056524476</v>
      </c>
      <c r="R77" s="131">
        <f>Z61/U60</f>
        <v>135562.13040247283</v>
      </c>
    </row>
    <row r="78" spans="14:20" x14ac:dyDescent="0.25">
      <c r="O78" s="132" t="s">
        <v>305</v>
      </c>
      <c r="P78" s="21">
        <f>SUM(P75:P77)</f>
        <v>104251.88518507504</v>
      </c>
      <c r="Q78" s="21">
        <f>SUM(Q75:Q77)</f>
        <v>196301.49056524475</v>
      </c>
      <c r="R78" s="21">
        <f>SUM(R75:R77)</f>
        <v>1085562.1304024728</v>
      </c>
    </row>
    <row r="79" spans="14:20" x14ac:dyDescent="0.25">
      <c r="O79" s="132" t="s">
        <v>309</v>
      </c>
      <c r="P79" s="133">
        <f>(J4-P78)/J4</f>
        <v>0.25534367724946405</v>
      </c>
      <c r="Q79" s="133">
        <f>(K4-Q78)/K4</f>
        <v>0.18207712264481354</v>
      </c>
      <c r="R79" s="133">
        <f>(L4-R78)/L4</f>
        <v>-3.386869562140267E-2</v>
      </c>
    </row>
    <row r="81" spans="14:19" ht="87" customHeight="1" x14ac:dyDescent="0.25">
      <c r="N81">
        <v>7</v>
      </c>
      <c r="O81" s="77"/>
    </row>
    <row r="84" spans="14:19" x14ac:dyDescent="0.25">
      <c r="O84" t="s">
        <v>310</v>
      </c>
      <c r="R84" s="45">
        <f>T76-(R75+R76)</f>
        <v>507802.8779675616</v>
      </c>
      <c r="S84" s="129">
        <f>R76+R75</f>
        <v>950000</v>
      </c>
    </row>
    <row r="85" spans="14:19" x14ac:dyDescent="0.25">
      <c r="O85" t="s">
        <v>311</v>
      </c>
      <c r="R85" s="134">
        <f>O10/R84</f>
        <v>16.837242109025961</v>
      </c>
    </row>
    <row r="90" spans="14:19" ht="114" customHeight="1" x14ac:dyDescent="0.25">
      <c r="N90">
        <v>8</v>
      </c>
      <c r="O90" s="76"/>
    </row>
  </sheetData>
  <mergeCells count="84">
    <mergeCell ref="L48:L49"/>
    <mergeCell ref="H43:H44"/>
    <mergeCell ref="H40:H42"/>
    <mergeCell ref="I40:I42"/>
    <mergeCell ref="J40:J42"/>
    <mergeCell ref="H45:H46"/>
    <mergeCell ref="I45:I46"/>
    <mergeCell ref="J45:J46"/>
    <mergeCell ref="I43:I44"/>
    <mergeCell ref="J43:J44"/>
    <mergeCell ref="K43:K44"/>
    <mergeCell ref="L43:L44"/>
    <mergeCell ref="K45:K46"/>
    <mergeCell ref="L45:L46"/>
    <mergeCell ref="G48:G49"/>
    <mergeCell ref="H48:H49"/>
    <mergeCell ref="I48:I49"/>
    <mergeCell ref="J48:J49"/>
    <mergeCell ref="K48:K49"/>
    <mergeCell ref="B48:B49"/>
    <mergeCell ref="C48:C49"/>
    <mergeCell ref="D48:D49"/>
    <mergeCell ref="E48:E49"/>
    <mergeCell ref="F48:F49"/>
    <mergeCell ref="C45:C46"/>
    <mergeCell ref="D45:D46"/>
    <mergeCell ref="E45:E46"/>
    <mergeCell ref="F45:F46"/>
    <mergeCell ref="G45:G46"/>
    <mergeCell ref="C43:C44"/>
    <mergeCell ref="D43:D44"/>
    <mergeCell ref="E43:E44"/>
    <mergeCell ref="F43:F44"/>
    <mergeCell ref="G43:G44"/>
    <mergeCell ref="L37:L39"/>
    <mergeCell ref="K40:K42"/>
    <mergeCell ref="L40:L42"/>
    <mergeCell ref="B40:B42"/>
    <mergeCell ref="C40:C42"/>
    <mergeCell ref="D40:D42"/>
    <mergeCell ref="E40:E42"/>
    <mergeCell ref="F40:F42"/>
    <mergeCell ref="G40:G42"/>
    <mergeCell ref="G37:G39"/>
    <mergeCell ref="H37:H39"/>
    <mergeCell ref="I37:I39"/>
    <mergeCell ref="J37:J39"/>
    <mergeCell ref="K37:K39"/>
    <mergeCell ref="B37:B39"/>
    <mergeCell ref="C37:C39"/>
    <mergeCell ref="D37:D39"/>
    <mergeCell ref="E37:E39"/>
    <mergeCell ref="F37:F39"/>
    <mergeCell ref="B33:B34"/>
    <mergeCell ref="C33:C34"/>
    <mergeCell ref="D33:D34"/>
    <mergeCell ref="E33:E34"/>
    <mergeCell ref="F33:F34"/>
    <mergeCell ref="B35:B36"/>
    <mergeCell ref="C35:C36"/>
    <mergeCell ref="D35:D36"/>
    <mergeCell ref="E35:E36"/>
    <mergeCell ref="F35:F36"/>
    <mergeCell ref="L33:L34"/>
    <mergeCell ref="G35:G36"/>
    <mergeCell ref="I1:L1"/>
    <mergeCell ref="N1:O1"/>
    <mergeCell ref="T11:V11"/>
    <mergeCell ref="G33:G34"/>
    <mergeCell ref="H33:H34"/>
    <mergeCell ref="I33:I34"/>
    <mergeCell ref="J33:J34"/>
    <mergeCell ref="M33:M34"/>
    <mergeCell ref="H35:H36"/>
    <mergeCell ref="I35:I36"/>
    <mergeCell ref="J35:J36"/>
    <mergeCell ref="K35:K36"/>
    <mergeCell ref="L35:L36"/>
    <mergeCell ref="K33:K34"/>
    <mergeCell ref="I8:I9"/>
    <mergeCell ref="J8:J9"/>
    <mergeCell ref="K8:K9"/>
    <mergeCell ref="L8:L9"/>
    <mergeCell ref="N11:O1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3"/>
  <sheetViews>
    <sheetView topLeftCell="A53" workbookViewId="0">
      <selection activeCell="B57" sqref="B57"/>
    </sheetView>
  </sheetViews>
  <sheetFormatPr defaultColWidth="8.85546875" defaultRowHeight="15" x14ac:dyDescent="0.25"/>
  <cols>
    <col min="2" max="2" width="43.42578125" customWidth="1"/>
    <col min="3" max="3" width="18" customWidth="1"/>
    <col min="4" max="4" width="16.28515625" bestFit="1" customWidth="1"/>
    <col min="5" max="5" width="17.28515625" customWidth="1"/>
    <col min="6" max="6" width="19" customWidth="1"/>
    <col min="7" max="7" width="18.140625" customWidth="1"/>
    <col min="9" max="9" width="9.5703125" bestFit="1" customWidth="1"/>
  </cols>
  <sheetData>
    <row r="1" spans="2:7" x14ac:dyDescent="0.25">
      <c r="B1" s="102"/>
    </row>
    <row r="2" spans="2:7" x14ac:dyDescent="0.25">
      <c r="B2" t="s">
        <v>312</v>
      </c>
    </row>
    <row r="3" spans="2:7" x14ac:dyDescent="0.25">
      <c r="B3" s="31" t="s">
        <v>313</v>
      </c>
    </row>
    <row r="5" spans="2:7" x14ac:dyDescent="0.25">
      <c r="B5" s="33" t="s">
        <v>314</v>
      </c>
      <c r="D5" s="31"/>
    </row>
    <row r="6" spans="2:7" x14ac:dyDescent="0.25">
      <c r="B6" t="s">
        <v>315</v>
      </c>
    </row>
    <row r="7" spans="2:7" x14ac:dyDescent="0.25">
      <c r="B7" t="s">
        <v>316</v>
      </c>
    </row>
    <row r="8" spans="2:7" x14ac:dyDescent="0.25">
      <c r="B8" t="s">
        <v>317</v>
      </c>
    </row>
    <row r="10" spans="2:7" x14ac:dyDescent="0.25">
      <c r="B10" s="33" t="s">
        <v>318</v>
      </c>
    </row>
    <row r="11" spans="2:7" x14ac:dyDescent="0.25">
      <c r="B11" t="s">
        <v>319</v>
      </c>
    </row>
    <row r="12" spans="2:7" x14ac:dyDescent="0.25">
      <c r="B12" t="s">
        <v>320</v>
      </c>
    </row>
    <row r="13" spans="2:7" x14ac:dyDescent="0.25">
      <c r="B13" t="s">
        <v>321</v>
      </c>
    </row>
    <row r="15" spans="2:7" x14ac:dyDescent="0.25">
      <c r="B15" s="31"/>
    </row>
    <row r="16" spans="2:7" x14ac:dyDescent="0.25">
      <c r="B16" s="31"/>
      <c r="E16" s="138" t="s">
        <v>322</v>
      </c>
      <c r="F16" s="138" t="s">
        <v>322</v>
      </c>
      <c r="G16" s="138" t="s">
        <v>322</v>
      </c>
    </row>
    <row r="17" spans="2:9" x14ac:dyDescent="0.25">
      <c r="D17" s="138" t="s">
        <v>323</v>
      </c>
      <c r="E17" s="138" t="s">
        <v>324</v>
      </c>
      <c r="F17" s="138" t="s">
        <v>325</v>
      </c>
      <c r="G17" s="138" t="s">
        <v>326</v>
      </c>
    </row>
    <row r="18" spans="2:9" x14ac:dyDescent="0.25">
      <c r="B18" s="18" t="s">
        <v>5</v>
      </c>
      <c r="C18" s="18" t="s">
        <v>6</v>
      </c>
      <c r="D18" s="18" t="s">
        <v>327</v>
      </c>
      <c r="E18" s="18" t="s">
        <v>327</v>
      </c>
      <c r="F18" s="18" t="s">
        <v>327</v>
      </c>
      <c r="G18" s="18" t="s">
        <v>327</v>
      </c>
    </row>
    <row r="19" spans="2:9" x14ac:dyDescent="0.25">
      <c r="B19" s="18" t="s">
        <v>12</v>
      </c>
      <c r="C19" s="19"/>
      <c r="D19" s="19"/>
      <c r="E19" s="19"/>
      <c r="F19" s="19"/>
      <c r="G19" s="19"/>
    </row>
    <row r="20" spans="2:9" x14ac:dyDescent="0.25">
      <c r="B20" s="30" t="s">
        <v>14</v>
      </c>
      <c r="C20" s="48">
        <v>388151</v>
      </c>
      <c r="D20" s="38">
        <f>C20*0.025+C20</f>
        <v>397854.77500000002</v>
      </c>
      <c r="E20" s="38">
        <f>C20*0.02+C20</f>
        <v>395914.02</v>
      </c>
      <c r="F20" s="38">
        <f>C20*0.025+C20</f>
        <v>397854.77500000002</v>
      </c>
      <c r="G20" s="38">
        <f>C20*0.03+C20</f>
        <v>399795.53</v>
      </c>
    </row>
    <row r="21" spans="2:9" x14ac:dyDescent="0.25">
      <c r="B21" s="19" t="s">
        <v>16</v>
      </c>
      <c r="C21" s="48">
        <v>27489</v>
      </c>
      <c r="D21" s="38">
        <f t="shared" ref="D21:D26" si="0">C21*0.025+C21</f>
        <v>28176.224999999999</v>
      </c>
      <c r="E21" s="38">
        <f t="shared" ref="E21:E26" si="1">C21*0.02+C21</f>
        <v>28038.78</v>
      </c>
      <c r="F21" s="38">
        <f t="shared" ref="F21:F26" si="2">C21*0.025+C21</f>
        <v>28176.224999999999</v>
      </c>
      <c r="G21" s="38">
        <f t="shared" ref="G21:G26" si="3">C21*0.03+C21</f>
        <v>28313.67</v>
      </c>
    </row>
    <row r="22" spans="2:9" x14ac:dyDescent="0.25">
      <c r="B22" s="19" t="s">
        <v>18</v>
      </c>
      <c r="C22" s="48">
        <v>61429</v>
      </c>
      <c r="D22" s="38">
        <f t="shared" si="0"/>
        <v>62964.724999999999</v>
      </c>
      <c r="E22" s="38">
        <f t="shared" si="1"/>
        <v>62657.58</v>
      </c>
      <c r="F22" s="38">
        <f t="shared" si="2"/>
        <v>62964.724999999999</v>
      </c>
      <c r="G22" s="38">
        <f t="shared" si="3"/>
        <v>63271.87</v>
      </c>
    </row>
    <row r="23" spans="2:9" x14ac:dyDescent="0.25">
      <c r="B23" s="19" t="s">
        <v>20</v>
      </c>
      <c r="C23" s="48">
        <v>577426</v>
      </c>
      <c r="D23" s="38">
        <f t="shared" si="0"/>
        <v>591861.65</v>
      </c>
      <c r="E23" s="38">
        <f t="shared" si="1"/>
        <v>588974.52</v>
      </c>
      <c r="F23" s="38">
        <f t="shared" si="2"/>
        <v>591861.65</v>
      </c>
      <c r="G23" s="38">
        <f t="shared" si="3"/>
        <v>594748.78</v>
      </c>
    </row>
    <row r="24" spans="2:9" x14ac:dyDescent="0.25">
      <c r="B24" s="30" t="s">
        <v>22</v>
      </c>
      <c r="C24" s="48">
        <v>20282</v>
      </c>
      <c r="D24" s="38">
        <f t="shared" si="0"/>
        <v>20789.05</v>
      </c>
      <c r="E24" s="38">
        <f t="shared" si="1"/>
        <v>20687.64</v>
      </c>
      <c r="F24" s="38">
        <f t="shared" si="2"/>
        <v>20789.05</v>
      </c>
      <c r="G24" s="38">
        <f t="shared" si="3"/>
        <v>20890.46</v>
      </c>
    </row>
    <row r="25" spans="2:9" x14ac:dyDescent="0.25">
      <c r="B25" s="19" t="s">
        <v>24</v>
      </c>
      <c r="C25" s="48">
        <v>40043</v>
      </c>
      <c r="D25" s="38">
        <f t="shared" si="0"/>
        <v>41044.074999999997</v>
      </c>
      <c r="E25" s="38">
        <f t="shared" si="1"/>
        <v>40843.86</v>
      </c>
      <c r="F25" s="38">
        <f t="shared" si="2"/>
        <v>41044.074999999997</v>
      </c>
      <c r="G25" s="38">
        <f t="shared" si="3"/>
        <v>41244.29</v>
      </c>
    </row>
    <row r="26" spans="2:9" x14ac:dyDescent="0.25">
      <c r="B26" s="19" t="s">
        <v>26</v>
      </c>
      <c r="C26" s="48">
        <f>SUM(C20:C25)</f>
        <v>1114820</v>
      </c>
      <c r="D26" s="38">
        <f t="shared" si="0"/>
        <v>1142690.5</v>
      </c>
      <c r="E26" s="38">
        <f t="shared" si="1"/>
        <v>1137116.3999999999</v>
      </c>
      <c r="F26" s="38">
        <f t="shared" si="2"/>
        <v>1142690.5</v>
      </c>
      <c r="G26" s="38">
        <f t="shared" si="3"/>
        <v>1148264.6000000001</v>
      </c>
      <c r="I26" s="62"/>
    </row>
    <row r="27" spans="2:9" x14ac:dyDescent="0.25">
      <c r="B27" s="18" t="s">
        <v>28</v>
      </c>
      <c r="C27" s="20"/>
      <c r="D27" s="21"/>
      <c r="E27" s="20"/>
      <c r="F27" s="20"/>
      <c r="G27" s="20"/>
    </row>
    <row r="28" spans="2:9" x14ac:dyDescent="0.25">
      <c r="B28" s="19" t="s">
        <v>30</v>
      </c>
      <c r="C28" s="48">
        <v>168833</v>
      </c>
      <c r="D28" s="38">
        <f>C28*0.01+C28</f>
        <v>170521.33</v>
      </c>
      <c r="E28" s="20">
        <f t="shared" ref="E28:E48" si="4">C28*0.02+C28</f>
        <v>172209.66</v>
      </c>
      <c r="F28" s="20">
        <f t="shared" ref="F28:F48" si="5">C28*0.025+C28</f>
        <v>173053.82500000001</v>
      </c>
      <c r="G28" s="20">
        <f t="shared" ref="G28:G48" si="6">C28*0.03+C28</f>
        <v>173897.99</v>
      </c>
      <c r="I28" s="63"/>
    </row>
    <row r="29" spans="2:9" x14ac:dyDescent="0.25">
      <c r="B29" s="19" t="s">
        <v>31</v>
      </c>
      <c r="C29" s="48">
        <v>18828</v>
      </c>
      <c r="D29" s="38">
        <f t="shared" ref="D29:D35" si="7">C29*0.01+C29</f>
        <v>19016.28</v>
      </c>
      <c r="E29" s="20">
        <f t="shared" si="4"/>
        <v>19204.560000000001</v>
      </c>
      <c r="F29" s="20">
        <f t="shared" si="5"/>
        <v>19298.7</v>
      </c>
      <c r="G29" s="20">
        <f t="shared" si="6"/>
        <v>19392.84</v>
      </c>
    </row>
    <row r="30" spans="2:9" x14ac:dyDescent="0.25">
      <c r="B30" s="19" t="s">
        <v>20</v>
      </c>
      <c r="C30" s="48">
        <v>579139</v>
      </c>
      <c r="D30" s="38">
        <f t="shared" si="7"/>
        <v>584930.39</v>
      </c>
      <c r="E30" s="20">
        <f t="shared" si="4"/>
        <v>590721.78</v>
      </c>
      <c r="F30" s="20">
        <f t="shared" si="5"/>
        <v>593617.47499999998</v>
      </c>
      <c r="G30" s="20">
        <f t="shared" si="6"/>
        <v>596513.17000000004</v>
      </c>
    </row>
    <row r="31" spans="2:9" x14ac:dyDescent="0.25">
      <c r="B31" s="30" t="s">
        <v>22</v>
      </c>
      <c r="C31" s="48">
        <v>14448</v>
      </c>
      <c r="D31" s="38">
        <f t="shared" si="7"/>
        <v>14592.48</v>
      </c>
      <c r="E31" s="20">
        <f t="shared" si="4"/>
        <v>14736.96</v>
      </c>
      <c r="F31" s="20">
        <f t="shared" si="5"/>
        <v>14809.2</v>
      </c>
      <c r="G31" s="20">
        <f t="shared" si="6"/>
        <v>14881.44</v>
      </c>
    </row>
    <row r="32" spans="2:9" x14ac:dyDescent="0.25">
      <c r="B32" s="19" t="s">
        <v>35</v>
      </c>
      <c r="C32" s="48">
        <f>SUM(C28:C31)</f>
        <v>781248</v>
      </c>
      <c r="D32" s="38">
        <f t="shared" si="7"/>
        <v>789060.48</v>
      </c>
      <c r="E32" s="20">
        <f t="shared" si="4"/>
        <v>796872.96</v>
      </c>
      <c r="F32" s="20">
        <f t="shared" si="5"/>
        <v>800779.2</v>
      </c>
      <c r="G32" s="20">
        <f t="shared" si="6"/>
        <v>804685.44</v>
      </c>
    </row>
    <row r="33" spans="2:8" x14ac:dyDescent="0.25">
      <c r="B33" s="19" t="s">
        <v>37</v>
      </c>
      <c r="C33" s="48">
        <v>-3097</v>
      </c>
      <c r="D33" s="38">
        <f t="shared" si="7"/>
        <v>-3127.97</v>
      </c>
      <c r="E33" s="20">
        <f t="shared" si="4"/>
        <v>-3158.94</v>
      </c>
      <c r="F33" s="20">
        <f t="shared" si="5"/>
        <v>-3174.4250000000002</v>
      </c>
      <c r="G33" s="20">
        <f t="shared" si="6"/>
        <v>-3189.91</v>
      </c>
    </row>
    <row r="34" spans="2:8" x14ac:dyDescent="0.25">
      <c r="B34" s="19" t="s">
        <v>39</v>
      </c>
      <c r="C34" s="48">
        <v>100</v>
      </c>
      <c r="D34" s="38">
        <f t="shared" si="7"/>
        <v>101</v>
      </c>
      <c r="E34" s="20">
        <f t="shared" si="4"/>
        <v>102</v>
      </c>
      <c r="F34" s="20">
        <f t="shared" si="5"/>
        <v>102.5</v>
      </c>
      <c r="G34" s="20">
        <f t="shared" si="6"/>
        <v>103</v>
      </c>
    </row>
    <row r="35" spans="2:8" x14ac:dyDescent="0.25">
      <c r="B35" s="19" t="s">
        <v>41</v>
      </c>
      <c r="C35" s="48">
        <v>318642</v>
      </c>
      <c r="D35" s="38">
        <f t="shared" si="7"/>
        <v>321828.42</v>
      </c>
      <c r="E35" s="20">
        <f t="shared" si="4"/>
        <v>325014.84000000003</v>
      </c>
      <c r="F35" s="20">
        <f t="shared" si="5"/>
        <v>326608.05</v>
      </c>
      <c r="G35" s="20">
        <f t="shared" si="6"/>
        <v>328201.26</v>
      </c>
    </row>
    <row r="36" spans="2:8" x14ac:dyDescent="0.25">
      <c r="B36" s="18" t="s">
        <v>42</v>
      </c>
      <c r="C36" s="20"/>
      <c r="D36" s="21"/>
      <c r="E36" s="20"/>
      <c r="F36" s="20"/>
      <c r="G36" s="20"/>
    </row>
    <row r="37" spans="2:8" x14ac:dyDescent="0.25">
      <c r="B37" s="19" t="s">
        <v>44</v>
      </c>
      <c r="C37" s="48">
        <v>46807</v>
      </c>
      <c r="D37" s="38">
        <f>C37+(C37*0.01)</f>
        <v>47275.07</v>
      </c>
      <c r="E37" s="20">
        <f t="shared" si="4"/>
        <v>47743.14</v>
      </c>
      <c r="F37" s="20">
        <f t="shared" si="5"/>
        <v>47977.175000000003</v>
      </c>
      <c r="G37" s="20">
        <f t="shared" si="6"/>
        <v>48211.21</v>
      </c>
    </row>
    <row r="38" spans="2:8" x14ac:dyDescent="0.25">
      <c r="B38" s="19" t="s">
        <v>46</v>
      </c>
      <c r="C38" s="48">
        <v>-9996</v>
      </c>
      <c r="D38" s="38">
        <f t="shared" ref="D38:D40" si="8">C38+(C38*0.01)</f>
        <v>-10095.959999999999</v>
      </c>
      <c r="E38" s="88">
        <f t="shared" si="4"/>
        <v>-10195.92</v>
      </c>
      <c r="F38" s="88">
        <f t="shared" si="5"/>
        <v>-10245.9</v>
      </c>
      <c r="G38" s="88">
        <f t="shared" si="6"/>
        <v>-10295.879999999999</v>
      </c>
    </row>
    <row r="39" spans="2:8" x14ac:dyDescent="0.25">
      <c r="B39" s="30" t="s">
        <v>47</v>
      </c>
      <c r="C39" s="48">
        <v>7188</v>
      </c>
      <c r="D39" s="38">
        <f t="shared" si="8"/>
        <v>7259.88</v>
      </c>
      <c r="E39" s="88">
        <f t="shared" si="4"/>
        <v>7331.76</v>
      </c>
      <c r="F39" s="88">
        <f t="shared" si="5"/>
        <v>7367.7</v>
      </c>
      <c r="G39" s="88">
        <f t="shared" si="6"/>
        <v>7403.64</v>
      </c>
    </row>
    <row r="40" spans="2:8" x14ac:dyDescent="0.25">
      <c r="B40" s="19" t="s">
        <v>48</v>
      </c>
      <c r="C40" s="48">
        <v>-4862</v>
      </c>
      <c r="D40" s="38">
        <f t="shared" si="8"/>
        <v>-4910.62</v>
      </c>
      <c r="E40" s="88">
        <f t="shared" si="4"/>
        <v>-4959.24</v>
      </c>
      <c r="F40" s="88">
        <f t="shared" si="5"/>
        <v>-4983.55</v>
      </c>
      <c r="G40" s="88">
        <f t="shared" si="6"/>
        <v>-5007.8599999999997</v>
      </c>
    </row>
    <row r="41" spans="2:8" x14ac:dyDescent="0.25">
      <c r="B41" s="19" t="s">
        <v>50</v>
      </c>
      <c r="C41" s="48">
        <v>9576</v>
      </c>
      <c r="D41" s="38">
        <f>C41+(C41*0.01)</f>
        <v>9671.76</v>
      </c>
      <c r="E41" s="88">
        <f t="shared" si="4"/>
        <v>9767.52</v>
      </c>
      <c r="F41" s="88">
        <f t="shared" si="5"/>
        <v>9815.4</v>
      </c>
      <c r="G41" s="88">
        <f t="shared" si="6"/>
        <v>9863.2800000000007</v>
      </c>
    </row>
    <row r="42" spans="2:8" x14ac:dyDescent="0.25">
      <c r="B42" s="19" t="s">
        <v>52</v>
      </c>
      <c r="C42" s="48">
        <v>48713</v>
      </c>
      <c r="D42" s="38">
        <f>C42+(C42*0.01)</f>
        <v>49200.13</v>
      </c>
      <c r="E42" s="88">
        <f>SUM(E37:E41)</f>
        <v>49687.260000000009</v>
      </c>
      <c r="F42" s="88">
        <f t="shared" ref="F42:G42" si="9">SUM(F37:F41)</f>
        <v>49930.824999999997</v>
      </c>
      <c r="G42" s="88">
        <f t="shared" si="9"/>
        <v>50174.39</v>
      </c>
    </row>
    <row r="43" spans="2:8" x14ac:dyDescent="0.25">
      <c r="B43" s="19" t="s">
        <v>54</v>
      </c>
      <c r="C43" s="48">
        <v>269929</v>
      </c>
      <c r="D43" s="38">
        <f>C43+(C43*0.01)</f>
        <v>272628.28999999998</v>
      </c>
      <c r="E43" s="88">
        <f t="shared" ref="E43:G43" si="10">D43+(D43*0.01)</f>
        <v>275354.57289999997</v>
      </c>
      <c r="F43" s="88">
        <f t="shared" si="10"/>
        <v>278108.11862899998</v>
      </c>
      <c r="G43" s="88">
        <f t="shared" si="10"/>
        <v>280889.19981528999</v>
      </c>
    </row>
    <row r="44" spans="2:8" x14ac:dyDescent="0.25">
      <c r="B44" s="19" t="s">
        <v>56</v>
      </c>
      <c r="C44" s="48">
        <v>47051</v>
      </c>
      <c r="D44" s="36">
        <f>D43*0.22</f>
        <v>59978.223799999992</v>
      </c>
      <c r="E44" s="109">
        <f t="shared" ref="E44:G44" si="11">E43*0.22</f>
        <v>60578.006037999992</v>
      </c>
      <c r="F44" s="109">
        <f t="shared" si="11"/>
        <v>61183.786098379998</v>
      </c>
      <c r="G44" s="109">
        <f t="shared" si="11"/>
        <v>61795.623959363795</v>
      </c>
      <c r="H44" s="32"/>
    </row>
    <row r="45" spans="2:8" x14ac:dyDescent="0.25">
      <c r="B45" s="19" t="s">
        <v>58</v>
      </c>
      <c r="C45" s="48">
        <v>222878</v>
      </c>
      <c r="D45" s="36">
        <f>D43-D44</f>
        <v>212650.0662</v>
      </c>
      <c r="E45" s="109">
        <f t="shared" ref="E45:G45" si="12">E43-E44</f>
        <v>214776.56686199998</v>
      </c>
      <c r="F45" s="109">
        <f t="shared" si="12"/>
        <v>216924.33253061998</v>
      </c>
      <c r="G45" s="109">
        <f t="shared" si="12"/>
        <v>219093.5758559262</v>
      </c>
    </row>
    <row r="46" spans="2:8" x14ac:dyDescent="0.25">
      <c r="B46" s="19" t="s">
        <v>60</v>
      </c>
      <c r="C46" s="21"/>
      <c r="D46" s="21"/>
      <c r="E46" s="20"/>
      <c r="F46" s="20"/>
      <c r="G46" s="20"/>
    </row>
    <row r="47" spans="2:8" x14ac:dyDescent="0.25">
      <c r="B47" s="78" t="s">
        <v>62</v>
      </c>
      <c r="C47" s="108">
        <v>4</v>
      </c>
      <c r="D47" s="108">
        <v>4</v>
      </c>
      <c r="E47" s="127">
        <f t="shared" si="4"/>
        <v>4.08</v>
      </c>
      <c r="F47" s="127">
        <f t="shared" si="5"/>
        <v>4.0999999999999996</v>
      </c>
      <c r="G47" s="127">
        <f t="shared" si="6"/>
        <v>4.12</v>
      </c>
    </row>
    <row r="48" spans="2:8" x14ac:dyDescent="0.25">
      <c r="B48" s="78" t="s">
        <v>63</v>
      </c>
      <c r="C48" s="108">
        <v>3.98</v>
      </c>
      <c r="D48" s="108">
        <v>3.98</v>
      </c>
      <c r="E48" s="127">
        <f t="shared" si="4"/>
        <v>4.0595999999999997</v>
      </c>
      <c r="F48" s="127">
        <f t="shared" si="5"/>
        <v>4.0795000000000003</v>
      </c>
      <c r="G48" s="127">
        <f t="shared" si="6"/>
        <v>4.0994000000000002</v>
      </c>
    </row>
    <row r="49" spans="2:7" x14ac:dyDescent="0.25">
      <c r="D49" s="34" t="s">
        <v>328</v>
      </c>
      <c r="E49" s="34" t="s">
        <v>329</v>
      </c>
      <c r="F49" s="34" t="s">
        <v>329</v>
      </c>
      <c r="G49" s="34" t="s">
        <v>329</v>
      </c>
    </row>
    <row r="50" spans="2:7" ht="14.25" customHeight="1" x14ac:dyDescent="0.25">
      <c r="E50" s="35"/>
      <c r="F50" s="35"/>
      <c r="G50" s="35"/>
    </row>
    <row r="51" spans="2:7" x14ac:dyDescent="0.25">
      <c r="B51" t="s">
        <v>138</v>
      </c>
    </row>
    <row r="53" spans="2:7" s="17" customFormat="1" x14ac:dyDescent="0.25">
      <c r="B53" s="17" t="s">
        <v>330</v>
      </c>
    </row>
    <row r="54" spans="2:7" ht="240" x14ac:dyDescent="0.25">
      <c r="B54" s="135" t="s">
        <v>331</v>
      </c>
      <c r="C54" s="52"/>
    </row>
    <row r="57" spans="2:7" s="17" customFormat="1" x14ac:dyDescent="0.25">
      <c r="B57" s="17" t="s">
        <v>332</v>
      </c>
    </row>
    <row r="58" spans="2:7" ht="120" x14ac:dyDescent="0.25">
      <c r="B58" s="77" t="s">
        <v>333</v>
      </c>
    </row>
    <row r="62" spans="2:7" s="17" customFormat="1" x14ac:dyDescent="0.25">
      <c r="B62" s="17" t="s">
        <v>334</v>
      </c>
    </row>
    <row r="63" spans="2:7" ht="120" x14ac:dyDescent="0.25">
      <c r="B63" s="77" t="s">
        <v>335</v>
      </c>
    </row>
  </sheetData>
  <hyperlinks>
    <hyperlink ref="B3" r:id="rId1"/>
  </hyperlinks>
  <pageMargins left="0.7" right="0.7" top="0.75" bottom="0.75" header="0.3" footer="0.3"/>
  <ignoredErrors>
    <ignoredError sqref="E42:G42"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D1488900B366C4699D824526A9DD64C" ma:contentTypeVersion="2" ma:contentTypeDescription="Create a new document." ma:contentTypeScope="" ma:versionID="8e79a20a540479d7fcd1c2d1fbae716f">
  <xsd:schema xmlns:xsd="http://www.w3.org/2001/XMLSchema" xmlns:xs="http://www.w3.org/2001/XMLSchema" xmlns:p="http://schemas.microsoft.com/office/2006/metadata/properties" xmlns:ns3="2980d3dd-e904-4825-a879-90f7cd6c113d" targetNamespace="http://schemas.microsoft.com/office/2006/metadata/properties" ma:root="true" ma:fieldsID="80dc005c4ce5b921a4e03e158d3a359c" ns3:_="">
    <xsd:import namespace="2980d3dd-e904-4825-a879-90f7cd6c113d"/>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80d3dd-e904-4825-a879-90f7cd6c11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551FC5C-AE1E-47B6-826C-E174AFDFE24E}">
  <ds:schemaRefs>
    <ds:schemaRef ds:uri="http://schemas.microsoft.com/sharepoint/v3/contenttype/forms"/>
  </ds:schemaRefs>
</ds:datastoreItem>
</file>

<file path=customXml/itemProps2.xml><?xml version="1.0" encoding="utf-8"?>
<ds:datastoreItem xmlns:ds="http://schemas.openxmlformats.org/officeDocument/2006/customXml" ds:itemID="{8133621C-46E4-461E-8E47-7F5B6D07C2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80d3dd-e904-4825-a879-90f7cd6c11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57D488E-4C9E-4D7D-967B-FD3F6DA2A780}">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2980d3dd-e904-4825-a879-90f7cd6c113d"/>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Income Statement</vt:lpstr>
      <vt:lpstr>Balance Sheet</vt:lpstr>
      <vt:lpstr>Cash Flow</vt:lpstr>
      <vt:lpstr>Cost and Investing</vt:lpstr>
      <vt:lpstr>Budget and Forecast</vt:lpstr>
    </vt:vector>
  </TitlesOfParts>
  <Manager/>
  <Company>UMUC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Brandon Schweitzer</dc:creator>
  <cp:keywords/>
  <dc:description/>
  <cp:lastModifiedBy>Stacey Mann</cp:lastModifiedBy>
  <cp:revision/>
  <dcterms:created xsi:type="dcterms:W3CDTF">2019-03-28T12:45:37Z</dcterms:created>
  <dcterms:modified xsi:type="dcterms:W3CDTF">2020-11-17T22:25:32Z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0x0101005D1488900B366C4699D824526A9DD64C</vt:lpwstr>
  </property>
</Properties>
</file>