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stacygoen/Downloads/"/>
    </mc:Choice>
  </mc:AlternateContent>
  <xr:revisionPtr revIDLastSave="0" documentId="8_{BECE17DB-4E28-7B45-9619-8BE0190399F2}" xr6:coauthVersionLast="46" xr6:coauthVersionMax="46" xr10:uidLastSave="{00000000-0000-0000-0000-000000000000}"/>
  <bookViews>
    <workbookView xWindow="0" yWindow="0" windowWidth="25600" windowHeight="16000" activeTab="2" xr2:uid="{00000000-000D-0000-FFFF-FFFF00000000}"/>
  </bookViews>
  <sheets>
    <sheet name="NCU AMC Financials" sheetId="1" r:id="rId1"/>
    <sheet name="Salary projections" sheetId="2" r:id="rId2"/>
    <sheet name="Total budget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3" l="1"/>
  <c r="H5" i="2"/>
  <c r="J5" i="2"/>
  <c r="L5" i="2"/>
  <c r="N5" i="2"/>
  <c r="C22" i="3"/>
  <c r="H6" i="2"/>
  <c r="J6" i="2"/>
  <c r="L6" i="2"/>
  <c r="N6" i="2"/>
  <c r="C23" i="3"/>
  <c r="H7" i="2"/>
  <c r="J7" i="2"/>
  <c r="L7" i="2"/>
  <c r="N7" i="2"/>
  <c r="C24" i="3"/>
  <c r="C26" i="3"/>
  <c r="C27" i="3"/>
  <c r="C28" i="3"/>
  <c r="C29" i="3"/>
  <c r="C30" i="3"/>
  <c r="C31" i="3"/>
  <c r="C32" i="3"/>
  <c r="C34" i="3"/>
  <c r="G6" i="2"/>
  <c r="I6" i="2"/>
  <c r="K6" i="2"/>
  <c r="M6" i="2"/>
  <c r="G7" i="2"/>
  <c r="I7" i="2"/>
  <c r="K7" i="2"/>
  <c r="M7" i="2"/>
  <c r="G8" i="2"/>
  <c r="I8" i="2"/>
  <c r="K8" i="2"/>
  <c r="M8" i="2"/>
  <c r="H8" i="2"/>
  <c r="J8" i="2"/>
  <c r="L8" i="2"/>
  <c r="N8" i="2"/>
  <c r="G9" i="2"/>
  <c r="I9" i="2"/>
  <c r="K9" i="2"/>
  <c r="M9" i="2"/>
  <c r="H9" i="2"/>
  <c r="J9" i="2"/>
  <c r="L9" i="2"/>
  <c r="N9" i="2"/>
  <c r="G10" i="2"/>
  <c r="I10" i="2"/>
  <c r="K10" i="2"/>
  <c r="M10" i="2"/>
  <c r="H10" i="2"/>
  <c r="J10" i="2"/>
  <c r="L10" i="2"/>
  <c r="N10" i="2"/>
  <c r="G11" i="2"/>
  <c r="I11" i="2"/>
  <c r="K11" i="2"/>
  <c r="M11" i="2"/>
  <c r="H11" i="2"/>
  <c r="J11" i="2"/>
  <c r="L11" i="2"/>
  <c r="N11" i="2"/>
  <c r="G12" i="2"/>
  <c r="I12" i="2"/>
  <c r="K12" i="2"/>
  <c r="M12" i="2"/>
  <c r="H12" i="2"/>
  <c r="J12" i="2"/>
  <c r="L12" i="2"/>
  <c r="N12" i="2"/>
  <c r="G13" i="2"/>
  <c r="I13" i="2"/>
  <c r="K13" i="2"/>
  <c r="M13" i="2"/>
  <c r="H13" i="2"/>
  <c r="J13" i="2"/>
  <c r="L13" i="2"/>
  <c r="N13" i="2"/>
  <c r="G14" i="2"/>
  <c r="I14" i="2"/>
  <c r="K14" i="2"/>
  <c r="M14" i="2"/>
  <c r="H14" i="2"/>
  <c r="J14" i="2"/>
  <c r="L14" i="2"/>
  <c r="N14" i="2"/>
  <c r="G15" i="2"/>
  <c r="I15" i="2"/>
  <c r="K15" i="2"/>
  <c r="M15" i="2"/>
  <c r="H15" i="2"/>
  <c r="J15" i="2"/>
  <c r="L15" i="2"/>
  <c r="N15" i="2"/>
  <c r="G16" i="2"/>
  <c r="I16" i="2"/>
  <c r="K16" i="2"/>
  <c r="M16" i="2"/>
  <c r="H16" i="2"/>
  <c r="J16" i="2"/>
  <c r="L16" i="2"/>
  <c r="N16" i="2"/>
  <c r="G17" i="2"/>
  <c r="I17" i="2"/>
  <c r="K17" i="2"/>
  <c r="M17" i="2"/>
  <c r="H17" i="2"/>
  <c r="J17" i="2"/>
  <c r="L17" i="2"/>
  <c r="N17" i="2"/>
  <c r="G18" i="2"/>
  <c r="I18" i="2"/>
  <c r="K18" i="2"/>
  <c r="M18" i="2"/>
  <c r="H18" i="2"/>
  <c r="J18" i="2"/>
  <c r="L18" i="2"/>
  <c r="N18" i="2"/>
  <c r="G19" i="2"/>
  <c r="I19" i="2"/>
  <c r="K19" i="2"/>
  <c r="M19" i="2"/>
  <c r="H19" i="2"/>
  <c r="J19" i="2"/>
  <c r="L19" i="2"/>
  <c r="N19" i="2"/>
  <c r="G20" i="2"/>
  <c r="I20" i="2"/>
  <c r="K20" i="2"/>
  <c r="M20" i="2"/>
  <c r="H20" i="2"/>
  <c r="J20" i="2"/>
  <c r="L20" i="2"/>
  <c r="N20" i="2"/>
  <c r="G21" i="2"/>
  <c r="I21" i="2"/>
  <c r="K21" i="2"/>
  <c r="M21" i="2"/>
  <c r="H21" i="2"/>
  <c r="J21" i="2"/>
  <c r="L21" i="2"/>
  <c r="N21" i="2"/>
  <c r="G5" i="2"/>
  <c r="I5" i="2"/>
  <c r="K5" i="2"/>
  <c r="M5" i="2"/>
  <c r="Q8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9" i="1"/>
  <c r="U8" i="1"/>
  <c r="S24" i="1"/>
  <c r="S23" i="1"/>
  <c r="S22" i="1"/>
  <c r="S21" i="1"/>
  <c r="S20" i="1"/>
  <c r="S19" i="1"/>
  <c r="S18" i="1"/>
  <c r="S17" i="1"/>
  <c r="S16" i="1"/>
  <c r="K12" i="1"/>
  <c r="K19" i="1"/>
  <c r="K21" i="1"/>
  <c r="K30" i="1"/>
  <c r="K34" i="1"/>
  <c r="K36" i="1"/>
  <c r="K38" i="1"/>
  <c r="S15" i="1"/>
  <c r="S14" i="1"/>
  <c r="S13" i="1"/>
  <c r="S12" i="1"/>
  <c r="S11" i="1"/>
  <c r="S9" i="1"/>
  <c r="S8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M12" i="1"/>
  <c r="M19" i="1"/>
  <c r="I19" i="1"/>
  <c r="I34" i="1"/>
  <c r="I30" i="1"/>
  <c r="M30" i="1"/>
  <c r="I12" i="1"/>
  <c r="F19" i="1"/>
  <c r="D19" i="1"/>
  <c r="B19" i="1"/>
  <c r="F12" i="1"/>
  <c r="D12" i="1"/>
  <c r="B12" i="1"/>
  <c r="I36" i="1"/>
  <c r="I21" i="1"/>
  <c r="M34" i="1"/>
  <c r="M36" i="1"/>
  <c r="F21" i="1"/>
  <c r="F24" i="1"/>
  <c r="F26" i="1"/>
  <c r="I38" i="1"/>
  <c r="I40" i="1"/>
  <c r="M21" i="1"/>
  <c r="M38" i="1"/>
  <c r="M40" i="1"/>
  <c r="B21" i="1"/>
  <c r="D21" i="1"/>
  <c r="K40" i="1"/>
  <c r="D24" i="1"/>
  <c r="D26" i="1"/>
  <c r="B24" i="1"/>
  <c r="B26" i="1"/>
</calcChain>
</file>

<file path=xl/sharedStrings.xml><?xml version="1.0" encoding="utf-8"?>
<sst xmlns="http://schemas.openxmlformats.org/spreadsheetml/2006/main" count="135" uniqueCount="105">
  <si>
    <t>Balance Sheet (in thousands)</t>
  </si>
  <si>
    <t>Current assets</t>
  </si>
  <si>
    <t xml:space="preserve">   Cash and cash equivalents</t>
  </si>
  <si>
    <t xml:space="preserve">   Inventory</t>
  </si>
  <si>
    <t>Total current assets</t>
  </si>
  <si>
    <t xml:space="preserve">   Supplies and other expenses</t>
  </si>
  <si>
    <t xml:space="preserve">   Depreciation</t>
  </si>
  <si>
    <t xml:space="preserve">Total operating expenses </t>
  </si>
  <si>
    <t>Total assets</t>
  </si>
  <si>
    <t>Current liabilities</t>
  </si>
  <si>
    <t xml:space="preserve">   Accounts payable</t>
  </si>
  <si>
    <t>Total current liabilities</t>
  </si>
  <si>
    <t>Total liabilities and net assets</t>
  </si>
  <si>
    <t>(in '000)</t>
  </si>
  <si>
    <t>Numerator</t>
  </si>
  <si>
    <t>Denominator</t>
  </si>
  <si>
    <t>Income Statemen / P&amp;L Statement / Statement of Operations (in thousands)</t>
  </si>
  <si>
    <t>for the Years Ended December 31, 2015 - 2017</t>
  </si>
  <si>
    <t>[X/Y]</t>
  </si>
  <si>
    <t>[AA/AB]</t>
  </si>
  <si>
    <t>[AD/AE]</t>
  </si>
  <si>
    <t>Ratios</t>
  </si>
  <si>
    <t>Current ratio</t>
  </si>
  <si>
    <t>Collection period ratio</t>
  </si>
  <si>
    <t>Average payment period (days)</t>
  </si>
  <si>
    <t>Operating margin ratio</t>
  </si>
  <si>
    <t>Retrun on net assets ratio</t>
  </si>
  <si>
    <t>Total asset turnover ratio</t>
  </si>
  <si>
    <t>Age of plant ratio</t>
  </si>
  <si>
    <t>Fixed asset turnover ratio</t>
  </si>
  <si>
    <t>Current asset turnover ratio</t>
  </si>
  <si>
    <t>Inventory ratio</t>
  </si>
  <si>
    <t>Net asset financing ratio</t>
  </si>
  <si>
    <t>Long-term debt to capitalization ratio</t>
  </si>
  <si>
    <t>Debt service coverage ratio</t>
  </si>
  <si>
    <t>Cash flow to debt ratio</t>
  </si>
  <si>
    <t xml:space="preserve">   Net patient services revenue</t>
  </si>
  <si>
    <t xml:space="preserve">   Other operating revenue</t>
  </si>
  <si>
    <t>Total operating revenue</t>
  </si>
  <si>
    <t xml:space="preserve">   Premium revenue</t>
  </si>
  <si>
    <t xml:space="preserve">   Salaries, wages and benefits</t>
  </si>
  <si>
    <t xml:space="preserve">   Interest</t>
  </si>
  <si>
    <t>Total change in net assets</t>
  </si>
  <si>
    <t>REVENUES</t>
  </si>
  <si>
    <t>EXPENSES</t>
  </si>
  <si>
    <t>OPERATING INCOME</t>
  </si>
  <si>
    <t>NONOPERATING INCOME</t>
  </si>
  <si>
    <t>EXCESS OF REVENUE OVER EXPENSES</t>
  </si>
  <si>
    <t>ASSETS</t>
  </si>
  <si>
    <t xml:space="preserve">   Receivables, net</t>
  </si>
  <si>
    <t xml:space="preserve">   Land, plant and equipment</t>
  </si>
  <si>
    <t xml:space="preserve">   Accumulated depreciation</t>
  </si>
  <si>
    <t xml:space="preserve">   Long-term investments</t>
  </si>
  <si>
    <t xml:space="preserve">   Other noncurrent assets</t>
  </si>
  <si>
    <t>Total noncurrent assets</t>
  </si>
  <si>
    <t>Noncurrent assets</t>
  </si>
  <si>
    <t>LIABILITIES AND NET ASSETS</t>
  </si>
  <si>
    <t>NET ASSETS</t>
  </si>
  <si>
    <t xml:space="preserve">   Notes payable</t>
  </si>
  <si>
    <t xml:space="preserve">   Accrued expenses payable</t>
  </si>
  <si>
    <t xml:space="preserve">   Current portion of long-term debt</t>
  </si>
  <si>
    <t>Noncurrent liabilites</t>
  </si>
  <si>
    <t xml:space="preserve">   Long-term debt, net of current portion</t>
  </si>
  <si>
    <t>Total liabilities</t>
  </si>
  <si>
    <t>Total noncurrent liabilities</t>
  </si>
  <si>
    <t>Days cash on hand (all sources)</t>
  </si>
  <si>
    <t>Days Cash on hand (short-term sources)</t>
  </si>
  <si>
    <t>Total margin ratio</t>
  </si>
  <si>
    <t>NCU Academic Medical Center</t>
  </si>
  <si>
    <t xml:space="preserve">Projections </t>
  </si>
  <si>
    <t>Hospital "X" &amp; Community Health Department “Z” Partnership</t>
  </si>
  <si>
    <t>Prepared by &lt;insert your name&gt;</t>
  </si>
  <si>
    <t>Title</t>
  </si>
  <si>
    <t>Budget Amount Requested</t>
  </si>
  <si>
    <t>Operating Expenses (recurring)</t>
  </si>
  <si>
    <t>Provided by Community Health Dept.</t>
  </si>
  <si>
    <t>Printing/Duplicating</t>
  </si>
  <si>
    <t>Office Materials/Supplies</t>
  </si>
  <si>
    <t>Data Software Programs - Educational</t>
  </si>
  <si>
    <t>Examination Room Materials &amp; Supplies</t>
  </si>
  <si>
    <t>Minor Equipment/Furniture (Over $400/Under $999)</t>
  </si>
  <si>
    <t>Minor Computer Equipment (Over $400/Under $999)</t>
  </si>
  <si>
    <t>Total Current Expense</t>
  </si>
  <si>
    <t>Capital Outlay (nonrecurring)</t>
  </si>
  <si>
    <t>Furniture &amp; Equipment ($1,000 to $5,000 per item)</t>
  </si>
  <si>
    <t>Furniture &amp; Equipment (cost over $5,000 per item)</t>
  </si>
  <si>
    <t>Total Capital Outlay</t>
  </si>
  <si>
    <t>Salary Expense (recurring)</t>
  </si>
  <si>
    <t>Paraprofessional &amp; Professional - Full Time</t>
  </si>
  <si>
    <t>Other Professional Regular Part Time</t>
  </si>
  <si>
    <t>Technical, Clerical Full Time</t>
  </si>
  <si>
    <t>Benefits Expense</t>
  </si>
  <si>
    <t>Social Security Contributions @ 6.2% of Salaries</t>
  </si>
  <si>
    <t>FICA @ 7.65% of Salaries</t>
  </si>
  <si>
    <t>Retirement Contributions @ 6.1% of Salaries</t>
  </si>
  <si>
    <t>Life &amp; Health Insurance @ 14% of Salaries</t>
  </si>
  <si>
    <t>/Medicare Contributions @ 1.45%</t>
  </si>
  <si>
    <t>Unemployment Compensation @ 12% of Salaries</t>
  </si>
  <si>
    <t>Total Salaries/Benefits</t>
  </si>
  <si>
    <t>Total Budget</t>
  </si>
  <si>
    <t>Projected Construction Costs (non-recurring)</t>
  </si>
  <si>
    <r>
      <t> </t>
    </r>
    <r>
      <rPr>
        <b/>
        <sz val="11"/>
        <rFont val="Times New Roman"/>
        <family val="1"/>
      </rPr>
      <t>Provided by Hospital “X”</t>
    </r>
  </si>
  <si>
    <t>Date &lt;16/04/2021&gt;</t>
  </si>
  <si>
    <t>Hospital Budget Projections FY &lt;2020/2021&gt;</t>
  </si>
  <si>
    <t>Provided by Hospital "X”*15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</si>
</sst>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0_);\(#,##0.000\)"/>
    <numFmt numFmtId="165" formatCode="0.000"/>
    <numFmt numFmtId="166" formatCode="0.000_);\(0.000\)"/>
    <numFmt numFmtId="167" formatCode="&quot;$&quot;#,##0.000_);[Red]\(&quot;$&quot;#,##0.000\)"/>
    <numFmt numFmtId="168" formatCode="&quot;$&quot;#,##0.000_);\(&quot;$&quot;#,##0.000\)"/>
    <numFmt numFmtId="169" formatCode="&quot;$&quot;#,##0"/>
    <numFmt numFmtId="170" formatCode="_-[$$-409]* #,##0_ ;_-[$$-409]* \-#,##0\ ;_-[$$-409]* &quot;-&quot;??_ ;_-@_ "/>
    <numFmt numFmtId="171" formatCode="[$$-4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3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0" fillId="2" borderId="0" xfId="0" applyNumberFormat="1" applyFill="1" applyAlignment="1">
      <alignment vertical="center"/>
    </xf>
    <xf numFmtId="6" fontId="0" fillId="0" borderId="0" xfId="0" applyNumberFormat="1" applyAlignment="1">
      <alignment vertical="center"/>
    </xf>
    <xf numFmtId="6" fontId="0" fillId="2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6" fontId="0" fillId="0" borderId="0" xfId="1" applyNumberFormat="1" applyFont="1" applyAlignment="1">
      <alignment vertical="center"/>
    </xf>
    <xf numFmtId="169" fontId="0" fillId="0" borderId="0" xfId="0" applyNumberFormat="1"/>
    <xf numFmtId="0" fontId="0" fillId="0" borderId="0" xfId="0" applyNumberFormat="1"/>
    <xf numFmtId="170" fontId="0" fillId="0" borderId="0" xfId="0" applyNumberFormat="1"/>
    <xf numFmtId="0" fontId="5" fillId="3" borderId="0" xfId="0" applyFont="1" applyFill="1" applyAlignment="1">
      <alignment vertical="center"/>
    </xf>
    <xf numFmtId="0" fontId="0" fillId="0" borderId="0" xfId="0" applyFont="1"/>
    <xf numFmtId="0" fontId="7" fillId="0" borderId="0" xfId="0" applyFont="1"/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8" fontId="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8" fontId="6" fillId="0" borderId="8" xfId="0" applyNumberFormat="1" applyFont="1" applyBorder="1" applyAlignment="1">
      <alignment horizontal="right" vertical="center"/>
    </xf>
    <xf numFmtId="171" fontId="7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8" fontId="6" fillId="0" borderId="9" xfId="0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workbookViewId="0">
      <selection activeCell="H16" sqref="H16"/>
    </sheetView>
  </sheetViews>
  <sheetFormatPr baseColWidth="10" defaultColWidth="8.83203125" defaultRowHeight="15" x14ac:dyDescent="0.2"/>
  <cols>
    <col min="1" max="1" width="33.1640625" style="2" customWidth="1"/>
    <col min="2" max="2" width="8.83203125" style="2" customWidth="1"/>
    <col min="3" max="3" width="8.83203125" style="2"/>
    <col min="4" max="6" width="8.83203125" style="2" customWidth="1"/>
    <col min="7" max="7" width="8.83203125" style="2"/>
    <col min="8" max="8" width="33.1640625" style="2" bestFit="1" customWidth="1"/>
    <col min="9" max="9" width="8.83203125" style="2" customWidth="1"/>
    <col min="10" max="10" width="8.83203125" style="2"/>
    <col min="11" max="11" width="8.83203125" style="2" customWidth="1"/>
    <col min="12" max="12" width="8.83203125" style="2"/>
    <col min="13" max="13" width="8.83203125" style="2" customWidth="1"/>
    <col min="14" max="14" width="8.83203125" style="2"/>
    <col min="15" max="15" width="37.1640625" style="2" bestFit="1" customWidth="1"/>
    <col min="16" max="17" width="8.83203125" style="2" customWidth="1"/>
    <col min="18" max="18" width="8.83203125" style="2"/>
    <col min="19" max="19" width="8.83203125" style="2" customWidth="1"/>
    <col min="20" max="20" width="8.83203125" style="2"/>
    <col min="21" max="21" width="8.83203125" style="2" customWidth="1"/>
    <col min="22" max="23" width="8.83203125" style="2"/>
    <col min="24" max="24" width="8.5" style="2" bestFit="1" customWidth="1"/>
    <col min="25" max="25" width="9.83203125" style="2" bestFit="1" customWidth="1"/>
    <col min="26" max="26" width="8.83203125" style="2"/>
    <col min="27" max="27" width="8.83203125" style="2" customWidth="1"/>
    <col min="28" max="28" width="12.1640625" style="2" bestFit="1" customWidth="1"/>
    <col min="29" max="29" width="8.83203125" style="2"/>
    <col min="30" max="30" width="8.5" style="2" bestFit="1" customWidth="1"/>
    <col min="31" max="31" width="9.83203125" style="2" bestFit="1" customWidth="1"/>
    <col min="32" max="16384" width="8.83203125" style="2"/>
  </cols>
  <sheetData>
    <row r="1" spans="1:31" s="1" customFormat="1" ht="11" x14ac:dyDescent="0.2">
      <c r="Q1" s="5"/>
      <c r="R1" s="5"/>
      <c r="S1" s="5"/>
      <c r="T1" s="5"/>
      <c r="U1" s="5"/>
      <c r="V1" s="5"/>
      <c r="W1" s="5"/>
    </row>
    <row r="2" spans="1:31" s="1" customFormat="1" ht="12" thickBot="1" x14ac:dyDescent="0.25">
      <c r="Q2" s="5"/>
      <c r="R2" s="5"/>
      <c r="S2" s="5"/>
      <c r="T2" s="5"/>
      <c r="U2" s="5"/>
      <c r="V2" s="5"/>
      <c r="W2" s="5"/>
    </row>
    <row r="3" spans="1:31" s="1" customFormat="1" ht="11" x14ac:dyDescent="0.2">
      <c r="A3" s="13" t="s">
        <v>68</v>
      </c>
      <c r="B3" s="14"/>
      <c r="C3" s="14"/>
      <c r="D3" s="14"/>
      <c r="E3" s="14"/>
      <c r="F3" s="15"/>
      <c r="H3" s="13" t="s">
        <v>68</v>
      </c>
      <c r="I3" s="14"/>
      <c r="J3" s="14"/>
      <c r="K3" s="14"/>
      <c r="L3" s="14"/>
      <c r="M3" s="15"/>
      <c r="O3" s="22" t="s">
        <v>68</v>
      </c>
      <c r="Q3" s="5"/>
      <c r="R3" s="5"/>
      <c r="S3" s="5"/>
      <c r="T3" s="5"/>
      <c r="U3" s="5"/>
      <c r="V3" s="5"/>
      <c r="W3" s="5"/>
    </row>
    <row r="4" spans="1:31" s="1" customFormat="1" ht="11" x14ac:dyDescent="0.2">
      <c r="A4" s="16" t="s">
        <v>16</v>
      </c>
      <c r="B4" s="17"/>
      <c r="C4" s="17"/>
      <c r="D4" s="17"/>
      <c r="E4" s="17"/>
      <c r="F4" s="18"/>
      <c r="H4" s="16" t="s">
        <v>0</v>
      </c>
      <c r="I4" s="17"/>
      <c r="J4" s="17"/>
      <c r="K4" s="17"/>
      <c r="L4" s="17"/>
      <c r="M4" s="18"/>
      <c r="O4" s="23" t="s">
        <v>21</v>
      </c>
      <c r="Q4" s="5"/>
      <c r="R4" s="5"/>
      <c r="S4" s="5"/>
      <c r="T4" s="5"/>
      <c r="U4" s="5"/>
      <c r="V4" s="5"/>
      <c r="W4" s="5"/>
    </row>
    <row r="5" spans="1:31" s="1" customFormat="1" ht="16" thickBot="1" x14ac:dyDescent="0.25">
      <c r="A5" s="19" t="s">
        <v>17</v>
      </c>
      <c r="B5" s="20"/>
      <c r="C5" s="20"/>
      <c r="D5" s="20"/>
      <c r="E5" s="20"/>
      <c r="F5" s="21"/>
      <c r="H5" s="19" t="s">
        <v>17</v>
      </c>
      <c r="I5" s="20"/>
      <c r="J5" s="20"/>
      <c r="K5" s="20"/>
      <c r="L5" s="20"/>
      <c r="M5" s="21"/>
      <c r="O5" s="24" t="s">
        <v>13</v>
      </c>
      <c r="Q5" s="8">
        <v>43100</v>
      </c>
      <c r="S5" s="9">
        <v>42735</v>
      </c>
      <c r="U5" s="8">
        <v>42369</v>
      </c>
      <c r="V5" s="5"/>
      <c r="W5" s="5"/>
      <c r="X5" s="1">
        <v>2017</v>
      </c>
      <c r="Y5" s="1">
        <v>2017</v>
      </c>
      <c r="AA5" s="38">
        <v>2016</v>
      </c>
      <c r="AB5" s="38">
        <v>2016</v>
      </c>
      <c r="AD5" s="1">
        <v>2015</v>
      </c>
      <c r="AE5" s="1">
        <v>2015</v>
      </c>
    </row>
    <row r="6" spans="1:31" s="1" customFormat="1" x14ac:dyDescent="0.2">
      <c r="Q6" s="1" t="s">
        <v>18</v>
      </c>
      <c r="S6" s="10" t="s">
        <v>19</v>
      </c>
      <c r="U6" s="1" t="s">
        <v>20</v>
      </c>
      <c r="X6" s="1" t="s">
        <v>14</v>
      </c>
      <c r="Y6" s="1" t="s">
        <v>15</v>
      </c>
      <c r="AA6" s="38" t="s">
        <v>14</v>
      </c>
      <c r="AB6" s="38" t="s">
        <v>15</v>
      </c>
      <c r="AD6" s="1" t="s">
        <v>14</v>
      </c>
      <c r="AE6" s="1" t="s">
        <v>15</v>
      </c>
    </row>
    <row r="7" spans="1:31" s="1" customFormat="1" x14ac:dyDescent="0.2">
      <c r="B7" s="1">
        <v>2017</v>
      </c>
      <c r="D7" s="1">
        <v>2016</v>
      </c>
      <c r="F7" s="1">
        <v>2015</v>
      </c>
      <c r="H7" s="26" t="s">
        <v>48</v>
      </c>
      <c r="I7" s="1">
        <v>2017</v>
      </c>
      <c r="K7" s="10">
        <v>2016</v>
      </c>
      <c r="M7" s="1">
        <v>2015</v>
      </c>
      <c r="S7" s="10"/>
      <c r="AA7" s="38"/>
      <c r="AB7" s="38"/>
    </row>
    <row r="8" spans="1:31" x14ac:dyDescent="0.2">
      <c r="A8" s="25" t="s">
        <v>43</v>
      </c>
      <c r="H8" s="2" t="s">
        <v>1</v>
      </c>
      <c r="K8" s="11"/>
      <c r="O8" s="2" t="s">
        <v>22</v>
      </c>
      <c r="Q8" s="6">
        <f>5450/3955</f>
        <v>1.3780025284450064</v>
      </c>
      <c r="R8" s="6"/>
      <c r="S8" s="6">
        <f>4975/3836</f>
        <v>1.2969238790406674</v>
      </c>
      <c r="T8" s="6"/>
      <c r="U8" s="6">
        <f>5200/3872</f>
        <v>1.3429752066115703</v>
      </c>
      <c r="V8" s="6"/>
      <c r="W8" s="7"/>
      <c r="X8" s="3">
        <v>5450</v>
      </c>
      <c r="Y8" s="3">
        <v>3955</v>
      </c>
      <c r="Z8" s="3"/>
      <c r="AA8" s="38">
        <v>4975</v>
      </c>
      <c r="AB8" s="38">
        <v>3836</v>
      </c>
      <c r="AC8" s="3"/>
      <c r="AD8" s="3">
        <v>5200</v>
      </c>
      <c r="AE8" s="3">
        <v>3872</v>
      </c>
    </row>
    <row r="9" spans="1:31" x14ac:dyDescent="0.2">
      <c r="A9" s="2" t="s">
        <v>36</v>
      </c>
      <c r="B9" s="3">
        <v>23000</v>
      </c>
      <c r="C9" s="3"/>
      <c r="D9" s="3">
        <v>22750</v>
      </c>
      <c r="E9" s="3"/>
      <c r="F9" s="3">
        <v>21250</v>
      </c>
      <c r="H9" s="2" t="s">
        <v>2</v>
      </c>
      <c r="I9" s="29">
        <v>700</v>
      </c>
      <c r="J9" s="29"/>
      <c r="K9" s="30">
        <v>675</v>
      </c>
      <c r="L9" s="29"/>
      <c r="M9" s="29">
        <v>600</v>
      </c>
      <c r="O9" s="2" t="s">
        <v>23</v>
      </c>
      <c r="Q9" s="31">
        <f>4000/63.014</f>
        <v>63.477957279334746</v>
      </c>
      <c r="R9" s="6"/>
      <c r="S9" s="31">
        <f>3500/62.329</f>
        <v>56.153636349051006</v>
      </c>
      <c r="T9" s="6"/>
      <c r="U9" s="31">
        <f>3750/58.219</f>
        <v>64.411961730706466</v>
      </c>
      <c r="V9" s="6"/>
      <c r="W9" s="7"/>
      <c r="X9" s="3">
        <v>4000</v>
      </c>
      <c r="Y9" s="34">
        <v>63.014000000000003</v>
      </c>
      <c r="Z9" s="3"/>
      <c r="AA9" s="38">
        <v>3500</v>
      </c>
      <c r="AB9" s="38">
        <v>62.329000000000001</v>
      </c>
      <c r="AC9" s="3"/>
      <c r="AD9" s="3">
        <v>3750</v>
      </c>
      <c r="AE9" s="35">
        <v>58.219000000000001</v>
      </c>
    </row>
    <row r="10" spans="1:31" x14ac:dyDescent="0.2">
      <c r="A10" s="2" t="s">
        <v>39</v>
      </c>
      <c r="B10" s="2">
        <v>600</v>
      </c>
      <c r="D10" s="2">
        <v>300</v>
      </c>
      <c r="F10" s="2">
        <v>400</v>
      </c>
      <c r="H10" s="2" t="s">
        <v>49</v>
      </c>
      <c r="I10" s="27">
        <v>4000</v>
      </c>
      <c r="J10" s="27"/>
      <c r="K10" s="28">
        <v>3500</v>
      </c>
      <c r="L10" s="27"/>
      <c r="M10" s="27">
        <v>3750</v>
      </c>
      <c r="O10" s="2" t="s">
        <v>66</v>
      </c>
      <c r="Q10" s="31">
        <f>700/56.027</f>
        <v>12.493976118657075</v>
      </c>
      <c r="R10" s="6"/>
      <c r="S10" s="31">
        <v>11.704000000000001</v>
      </c>
      <c r="T10" s="6"/>
      <c r="U10" s="31">
        <v>10.305999999999999</v>
      </c>
      <c r="V10" s="6"/>
      <c r="W10" s="7"/>
      <c r="X10" s="3">
        <v>700</v>
      </c>
      <c r="Y10" s="35">
        <v>56.027000000000001</v>
      </c>
      <c r="Z10" s="3"/>
      <c r="AA10" s="38">
        <v>675</v>
      </c>
      <c r="AB10" s="38">
        <v>57.670999999999999</v>
      </c>
      <c r="AC10" s="3"/>
      <c r="AD10" s="3">
        <v>600</v>
      </c>
      <c r="AE10" s="35">
        <v>58.219000000000001</v>
      </c>
    </row>
    <row r="11" spans="1:31" x14ac:dyDescent="0.2">
      <c r="A11" s="2" t="s">
        <v>37</v>
      </c>
      <c r="B11" s="2">
        <v>725</v>
      </c>
      <c r="D11" s="2">
        <v>680</v>
      </c>
      <c r="F11" s="2">
        <v>710</v>
      </c>
      <c r="H11" s="2" t="s">
        <v>3</v>
      </c>
      <c r="I11" s="27">
        <v>750</v>
      </c>
      <c r="J11" s="27"/>
      <c r="K11" s="28">
        <v>800</v>
      </c>
      <c r="L11" s="27"/>
      <c r="M11" s="27">
        <v>850</v>
      </c>
      <c r="O11" s="2" t="s">
        <v>65</v>
      </c>
      <c r="Q11" s="31">
        <f>965/56.027</f>
        <v>17.223838506434397</v>
      </c>
      <c r="R11" s="6"/>
      <c r="S11" s="31">
        <f>860/57.671</f>
        <v>14.912174229682163</v>
      </c>
      <c r="T11" s="6"/>
      <c r="U11" s="31">
        <f>770/58.219</f>
        <v>13.225922808705061</v>
      </c>
      <c r="W11" s="7"/>
      <c r="X11" s="3">
        <v>965</v>
      </c>
      <c r="Y11" s="35">
        <v>56.027000000000001</v>
      </c>
      <c r="Z11" s="3"/>
      <c r="AA11" s="38">
        <v>860</v>
      </c>
      <c r="AB11" s="38">
        <v>57.670999999999999</v>
      </c>
      <c r="AC11" s="3"/>
      <c r="AD11" s="3">
        <v>770</v>
      </c>
      <c r="AE11" s="35">
        <v>58.219000000000001</v>
      </c>
    </row>
    <row r="12" spans="1:31" x14ac:dyDescent="0.2">
      <c r="A12" s="2" t="s">
        <v>38</v>
      </c>
      <c r="B12" s="12">
        <f>SUM(B9:B11)</f>
        <v>24325</v>
      </c>
      <c r="D12" s="12">
        <f>SUM(D9:D11)</f>
        <v>23730</v>
      </c>
      <c r="F12" s="12">
        <f>SUM(F9:F11)</f>
        <v>22360</v>
      </c>
      <c r="H12" s="2" t="s">
        <v>4</v>
      </c>
      <c r="I12" s="28">
        <f>SUM(I9:I11)</f>
        <v>5450</v>
      </c>
      <c r="J12" s="27"/>
      <c r="K12" s="28">
        <f>SUM(K9:K11)</f>
        <v>4975</v>
      </c>
      <c r="L12" s="27"/>
      <c r="M12" s="28">
        <f>SUM(M9:M11)</f>
        <v>5200</v>
      </c>
      <c r="O12" s="2" t="s">
        <v>24</v>
      </c>
      <c r="Q12" s="31">
        <f>3955/56.027</f>
        <v>70.59096507041248</v>
      </c>
      <c r="R12" s="6"/>
      <c r="S12" s="31">
        <f>3836/57.671</f>
        <v>66.515232959372995</v>
      </c>
      <c r="T12" s="6"/>
      <c r="U12" s="31">
        <f>3872/58.219</f>
        <v>66.507497552345455</v>
      </c>
      <c r="W12" s="7"/>
      <c r="X12" s="3">
        <v>3955</v>
      </c>
      <c r="Y12" s="35">
        <v>56.027000000000001</v>
      </c>
      <c r="Z12" s="3"/>
      <c r="AA12" s="38">
        <v>3836</v>
      </c>
      <c r="AB12" s="38">
        <v>57.670999999999999</v>
      </c>
      <c r="AC12" s="3"/>
      <c r="AD12" s="3">
        <v>3872</v>
      </c>
      <c r="AE12" s="35">
        <v>58.219000000000001</v>
      </c>
    </row>
    <row r="13" spans="1:31" x14ac:dyDescent="0.2">
      <c r="I13" s="27"/>
      <c r="J13" s="27"/>
      <c r="K13" s="28"/>
      <c r="L13" s="27"/>
      <c r="M13" s="27"/>
      <c r="O13" s="2" t="s">
        <v>25</v>
      </c>
      <c r="Q13" s="32">
        <f>1375/24325*100</f>
        <v>5.6526207605344299</v>
      </c>
      <c r="R13" s="6"/>
      <c r="S13" s="31">
        <f>(680/23730)*100</f>
        <v>2.8655710071639273</v>
      </c>
      <c r="T13" s="6"/>
      <c r="U13" s="31">
        <f>(-690/22360)*100</f>
        <v>-3.0858676207513418</v>
      </c>
      <c r="W13" s="7"/>
      <c r="X13" s="3">
        <v>1375</v>
      </c>
      <c r="Y13" s="3">
        <v>24325</v>
      </c>
      <c r="Z13" s="3"/>
      <c r="AA13" s="38">
        <v>680</v>
      </c>
      <c r="AB13" s="38">
        <v>23730</v>
      </c>
      <c r="AC13" s="3"/>
      <c r="AD13" s="3">
        <v>-690</v>
      </c>
      <c r="AE13" s="3">
        <v>22360</v>
      </c>
    </row>
    <row r="14" spans="1:31" x14ac:dyDescent="0.2">
      <c r="A14" s="25" t="s">
        <v>44</v>
      </c>
      <c r="H14" s="2" t="s">
        <v>55</v>
      </c>
      <c r="I14" s="27"/>
      <c r="J14" s="27"/>
      <c r="K14" s="28"/>
      <c r="L14" s="27"/>
      <c r="M14" s="27"/>
      <c r="O14" s="2" t="s">
        <v>67</v>
      </c>
      <c r="Q14" s="31">
        <f>(1640/24325)*100</f>
        <v>6.7420349434737927</v>
      </c>
      <c r="R14" s="6"/>
      <c r="S14" s="31">
        <f>(865/23730)*100</f>
        <v>3.6451748841129374</v>
      </c>
      <c r="T14" s="6"/>
      <c r="U14" s="31">
        <f>(-520/22360)*100</f>
        <v>-2.3255813953488373</v>
      </c>
      <c r="V14" s="7"/>
      <c r="W14" s="7"/>
      <c r="X14" s="3">
        <v>1640</v>
      </c>
      <c r="Y14" s="3">
        <v>24325</v>
      </c>
      <c r="AA14" s="38">
        <v>865</v>
      </c>
      <c r="AB14" s="38">
        <v>23730</v>
      </c>
      <c r="AD14" s="3">
        <v>-520</v>
      </c>
      <c r="AE14" s="3">
        <v>22360</v>
      </c>
    </row>
    <row r="15" spans="1:31" x14ac:dyDescent="0.2">
      <c r="A15" s="2" t="s">
        <v>40</v>
      </c>
      <c r="B15" s="2">
        <v>13250</v>
      </c>
      <c r="D15" s="2">
        <v>14150</v>
      </c>
      <c r="F15" s="2">
        <v>14900</v>
      </c>
      <c r="H15" s="2" t="s">
        <v>50</v>
      </c>
      <c r="I15" s="27">
        <v>26500</v>
      </c>
      <c r="J15" s="27"/>
      <c r="K15" s="28">
        <v>24000</v>
      </c>
      <c r="L15" s="27"/>
      <c r="M15" s="27">
        <v>23000</v>
      </c>
      <c r="O15" s="2" t="s">
        <v>26</v>
      </c>
      <c r="Q15" s="31">
        <f>(1640/16995)*100</f>
        <v>9.6498970285378061</v>
      </c>
      <c r="R15" s="6"/>
      <c r="S15" s="31">
        <f>(865/K38)*100</f>
        <v>7.7655085734805631</v>
      </c>
      <c r="T15" s="6"/>
      <c r="U15" s="33">
        <f>(-520/10328)*100</f>
        <v>-5.0348567002323774</v>
      </c>
      <c r="V15" s="3"/>
      <c r="W15" s="7"/>
      <c r="X15" s="3">
        <v>1640</v>
      </c>
      <c r="Y15" s="36">
        <v>16995</v>
      </c>
      <c r="AA15" s="38">
        <v>865</v>
      </c>
      <c r="AB15" s="38">
        <v>11139</v>
      </c>
      <c r="AD15" s="3">
        <v>-520</v>
      </c>
      <c r="AE15" s="37">
        <v>10328</v>
      </c>
    </row>
    <row r="16" spans="1:31" x14ac:dyDescent="0.2">
      <c r="A16" s="2" t="s">
        <v>5</v>
      </c>
      <c r="B16" s="2">
        <v>7000</v>
      </c>
      <c r="D16" s="2">
        <v>6750</v>
      </c>
      <c r="F16" s="2">
        <v>6250</v>
      </c>
      <c r="H16" s="2" t="s">
        <v>51</v>
      </c>
      <c r="I16" s="27">
        <v>-18000</v>
      </c>
      <c r="J16" s="27"/>
      <c r="K16" s="28">
        <v>-17000</v>
      </c>
      <c r="L16" s="27"/>
      <c r="M16" s="27">
        <v>-16000</v>
      </c>
      <c r="O16" s="2" t="s">
        <v>27</v>
      </c>
      <c r="Q16" s="31">
        <f>24590/27450</f>
        <v>0.89581056466302367</v>
      </c>
      <c r="R16" s="6"/>
      <c r="S16" s="31">
        <f>23915/22975</f>
        <v>1.0409140369967356</v>
      </c>
      <c r="T16" s="6"/>
      <c r="U16" s="31">
        <f>22530/22200</f>
        <v>1.0148648648648648</v>
      </c>
      <c r="V16" s="3"/>
      <c r="W16" s="7"/>
      <c r="X16" s="3">
        <v>24590</v>
      </c>
      <c r="Y16" s="36">
        <v>27450</v>
      </c>
      <c r="AA16" s="38">
        <v>23915</v>
      </c>
      <c r="AB16" s="38">
        <v>22975</v>
      </c>
      <c r="AD16" s="3">
        <v>22530</v>
      </c>
      <c r="AE16" s="36">
        <v>22200</v>
      </c>
    </row>
    <row r="17" spans="1:31" x14ac:dyDescent="0.2">
      <c r="A17" s="2" t="s">
        <v>6</v>
      </c>
      <c r="B17" s="2">
        <v>2500</v>
      </c>
      <c r="D17" s="2">
        <v>2000</v>
      </c>
      <c r="F17" s="2">
        <v>1800</v>
      </c>
      <c r="H17" s="2" t="s">
        <v>52</v>
      </c>
      <c r="I17" s="27">
        <v>5000</v>
      </c>
      <c r="J17" s="27"/>
      <c r="K17" s="28">
        <v>4000</v>
      </c>
      <c r="L17" s="27"/>
      <c r="M17" s="27">
        <v>3000</v>
      </c>
      <c r="O17" s="2" t="s">
        <v>28</v>
      </c>
      <c r="Q17" s="32">
        <f>18000/2500</f>
        <v>7.2</v>
      </c>
      <c r="R17" s="6"/>
      <c r="S17" s="31">
        <f>17000/2000</f>
        <v>8.5</v>
      </c>
      <c r="T17" s="6"/>
      <c r="U17" s="31">
        <f>16000/1800</f>
        <v>8.8888888888888893</v>
      </c>
      <c r="V17" s="7"/>
      <c r="W17" s="7"/>
      <c r="X17" s="3">
        <v>18000</v>
      </c>
      <c r="Y17" s="3">
        <v>2500</v>
      </c>
      <c r="Z17" s="3"/>
      <c r="AA17" s="38">
        <v>17000</v>
      </c>
      <c r="AB17" s="38">
        <v>2000</v>
      </c>
      <c r="AC17" s="3"/>
      <c r="AD17" s="3">
        <v>16000</v>
      </c>
      <c r="AE17" s="3">
        <v>1800</v>
      </c>
    </row>
    <row r="18" spans="1:31" x14ac:dyDescent="0.2">
      <c r="A18" s="2" t="s">
        <v>41</v>
      </c>
      <c r="B18" s="2">
        <v>200</v>
      </c>
      <c r="D18" s="2">
        <v>150</v>
      </c>
      <c r="F18" s="2">
        <v>100</v>
      </c>
      <c r="H18" s="2" t="s">
        <v>53</v>
      </c>
      <c r="I18" s="27">
        <v>8500</v>
      </c>
      <c r="J18" s="27"/>
      <c r="K18" s="28">
        <v>7000</v>
      </c>
      <c r="L18" s="27"/>
      <c r="M18" s="27">
        <v>7000</v>
      </c>
      <c r="O18" s="2" t="s">
        <v>29</v>
      </c>
      <c r="Q18" s="31">
        <f>24590/8500</f>
        <v>2.8929411764705883</v>
      </c>
      <c r="R18" s="6"/>
      <c r="S18" s="32">
        <f>23915/7000</f>
        <v>3.4164285714285714</v>
      </c>
      <c r="T18" s="6"/>
      <c r="U18" s="31">
        <f>22530/7000</f>
        <v>3.2185714285714284</v>
      </c>
      <c r="V18" s="6"/>
      <c r="W18" s="7"/>
      <c r="X18" s="3">
        <v>24590</v>
      </c>
      <c r="Y18" s="3">
        <v>8500</v>
      </c>
      <c r="Z18" s="3"/>
      <c r="AA18" s="38">
        <v>23915</v>
      </c>
      <c r="AB18" s="38">
        <v>7000</v>
      </c>
      <c r="AC18" s="3"/>
      <c r="AD18" s="3">
        <v>22530</v>
      </c>
      <c r="AE18" s="3">
        <v>7000</v>
      </c>
    </row>
    <row r="19" spans="1:31" x14ac:dyDescent="0.2">
      <c r="A19" s="2" t="s">
        <v>7</v>
      </c>
      <c r="B19" s="11">
        <f>SUM(B15:B18)</f>
        <v>22950</v>
      </c>
      <c r="D19" s="11">
        <f>SUM(D15:D18)</f>
        <v>23050</v>
      </c>
      <c r="F19" s="11">
        <f>SUM(F15:F18)</f>
        <v>23050</v>
      </c>
      <c r="H19" s="2" t="s">
        <v>54</v>
      </c>
      <c r="I19" s="28">
        <f>SUM(I15:I18)</f>
        <v>22000</v>
      </c>
      <c r="J19" s="27"/>
      <c r="K19" s="28">
        <f>SUM(K15:K18)</f>
        <v>18000</v>
      </c>
      <c r="L19" s="27"/>
      <c r="M19" s="28">
        <f>SUM(M15:M18)</f>
        <v>17000</v>
      </c>
      <c r="O19" s="2" t="s">
        <v>30</v>
      </c>
      <c r="Q19" s="31">
        <f>24590/5450</f>
        <v>4.5119266055045868</v>
      </c>
      <c r="R19" s="6"/>
      <c r="S19" s="31">
        <f>23915/4975</f>
        <v>4.8070351758793972</v>
      </c>
      <c r="T19" s="6"/>
      <c r="U19" s="31">
        <f>22530/5200</f>
        <v>4.3326923076923078</v>
      </c>
      <c r="V19" s="6"/>
      <c r="W19" s="7"/>
      <c r="X19" s="3">
        <v>24590</v>
      </c>
      <c r="Y19" s="3">
        <v>5450</v>
      </c>
      <c r="Z19" s="3"/>
      <c r="AA19" s="38">
        <v>23915</v>
      </c>
      <c r="AB19" s="38">
        <v>4975</v>
      </c>
      <c r="AC19" s="3"/>
      <c r="AD19" s="3">
        <v>22530</v>
      </c>
      <c r="AE19" s="3">
        <v>5200</v>
      </c>
    </row>
    <row r="20" spans="1:31" x14ac:dyDescent="0.2">
      <c r="I20" s="27"/>
      <c r="J20" s="27"/>
      <c r="K20" s="28"/>
      <c r="L20" s="27"/>
      <c r="M20" s="27"/>
      <c r="O20" s="2" t="s">
        <v>31</v>
      </c>
      <c r="Q20" s="31">
        <f>24590/750</f>
        <v>32.786666666666669</v>
      </c>
      <c r="R20" s="6"/>
      <c r="S20" s="31">
        <f>22935/800</f>
        <v>28.668749999999999</v>
      </c>
      <c r="T20" s="6"/>
      <c r="U20" s="31">
        <f>22530/850</f>
        <v>26.505882352941178</v>
      </c>
      <c r="V20" s="6"/>
      <c r="W20" s="7"/>
      <c r="X20" s="3">
        <v>24590</v>
      </c>
      <c r="Y20" s="3">
        <v>750</v>
      </c>
      <c r="Z20" s="3"/>
      <c r="AA20" s="38">
        <v>23915</v>
      </c>
      <c r="AB20" s="38">
        <v>800</v>
      </c>
      <c r="AC20" s="3"/>
      <c r="AD20" s="3">
        <v>22530</v>
      </c>
      <c r="AE20" s="3">
        <v>850</v>
      </c>
    </row>
    <row r="21" spans="1:31" x14ac:dyDescent="0.2">
      <c r="A21" s="25" t="s">
        <v>45</v>
      </c>
      <c r="B21" s="12">
        <f>B12-B19</f>
        <v>1375</v>
      </c>
      <c r="D21" s="12">
        <f>D12-D19</f>
        <v>680</v>
      </c>
      <c r="F21" s="12">
        <f>F12-F19</f>
        <v>-690</v>
      </c>
      <c r="H21" s="4" t="s">
        <v>8</v>
      </c>
      <c r="I21" s="28">
        <f>SUM(I12,I19)</f>
        <v>27450</v>
      </c>
      <c r="J21" s="27"/>
      <c r="K21" s="28">
        <f>SUM(K12,K19)</f>
        <v>22975</v>
      </c>
      <c r="L21" s="27"/>
      <c r="M21" s="28">
        <f>SUM(M12,M19)</f>
        <v>22200</v>
      </c>
      <c r="O21" s="2" t="s">
        <v>32</v>
      </c>
      <c r="Q21" s="31">
        <f>(16995/27450)*100</f>
        <v>61.912568306010925</v>
      </c>
      <c r="R21" s="6"/>
      <c r="S21" s="31">
        <f>(11139/22975)*100</f>
        <v>48.483133841131668</v>
      </c>
      <c r="T21" s="6"/>
      <c r="U21" s="31">
        <f>(10328/22200)*100</f>
        <v>46.522522522522522</v>
      </c>
      <c r="V21" s="6"/>
      <c r="W21" s="7"/>
      <c r="X21" s="3">
        <v>16995</v>
      </c>
      <c r="Y21" s="3">
        <v>27450</v>
      </c>
      <c r="Z21" s="3"/>
      <c r="AA21" s="38">
        <v>11139</v>
      </c>
      <c r="AB21" s="38">
        <v>22975</v>
      </c>
      <c r="AC21" s="3"/>
      <c r="AD21" s="3">
        <v>10328</v>
      </c>
      <c r="AE21" s="3">
        <v>22200</v>
      </c>
    </row>
    <row r="22" spans="1:31" x14ac:dyDescent="0.2">
      <c r="A22" s="25" t="s">
        <v>46</v>
      </c>
      <c r="B22" s="2">
        <v>265</v>
      </c>
      <c r="D22" s="2">
        <v>185</v>
      </c>
      <c r="F22" s="2">
        <v>170</v>
      </c>
      <c r="H22" s="4"/>
      <c r="I22" s="27"/>
      <c r="J22" s="27"/>
      <c r="K22" s="28"/>
      <c r="L22" s="27"/>
      <c r="M22" s="27"/>
      <c r="O22" s="2" t="s">
        <v>33</v>
      </c>
      <c r="Q22" s="31">
        <f>(6500/23495)*100</f>
        <v>27.665460736326882</v>
      </c>
      <c r="R22" s="6"/>
      <c r="S22" s="31">
        <f>(8000/19139)*100</f>
        <v>41.799467056795024</v>
      </c>
      <c r="T22" s="6"/>
      <c r="U22" s="31">
        <f>(8000/18328)*100</f>
        <v>43.649061545176778</v>
      </c>
      <c r="V22" s="7"/>
      <c r="W22" s="7"/>
      <c r="X22" s="3">
        <v>6500</v>
      </c>
      <c r="Y22" s="3">
        <v>23495</v>
      </c>
      <c r="AA22" s="38">
        <v>8000</v>
      </c>
      <c r="AB22" s="38">
        <v>19139</v>
      </c>
      <c r="AD22" s="3">
        <v>8000</v>
      </c>
      <c r="AE22" s="3">
        <v>18328</v>
      </c>
    </row>
    <row r="23" spans="1:31" x14ac:dyDescent="0.2">
      <c r="H23" s="25" t="s">
        <v>56</v>
      </c>
      <c r="I23" s="27"/>
      <c r="J23" s="27"/>
      <c r="K23" s="28"/>
      <c r="L23" s="27"/>
      <c r="M23" s="27"/>
      <c r="O23" s="2" t="s">
        <v>34</v>
      </c>
      <c r="Q23" s="31">
        <f>4340/384</f>
        <v>11.302083333333334</v>
      </c>
      <c r="R23" s="6"/>
      <c r="S23" s="31">
        <f>3015/328</f>
        <v>9.1920731707317067</v>
      </c>
      <c r="T23" s="6"/>
      <c r="U23" s="31">
        <f>1380/252</f>
        <v>5.4761904761904763</v>
      </c>
      <c r="V23" s="6"/>
      <c r="W23" s="7"/>
      <c r="X23" s="3">
        <v>4340</v>
      </c>
      <c r="Y23" s="3">
        <v>384</v>
      </c>
      <c r="Z23" s="3"/>
      <c r="AA23" s="38">
        <v>3015</v>
      </c>
      <c r="AB23" s="38">
        <v>328</v>
      </c>
      <c r="AC23" s="3"/>
      <c r="AD23" s="3">
        <v>1380</v>
      </c>
      <c r="AE23" s="3">
        <v>252</v>
      </c>
    </row>
    <row r="24" spans="1:31" x14ac:dyDescent="0.2">
      <c r="A24" s="25" t="s">
        <v>47</v>
      </c>
      <c r="B24" s="12">
        <f>SUM(B21:B22)</f>
        <v>1640</v>
      </c>
      <c r="D24" s="12">
        <f>SUM(D21:D22)</f>
        <v>865</v>
      </c>
      <c r="F24" s="12">
        <f>SUM(F21:F22)</f>
        <v>-520</v>
      </c>
      <c r="H24" s="2" t="s">
        <v>9</v>
      </c>
      <c r="I24" s="27"/>
      <c r="J24" s="27"/>
      <c r="K24" s="28"/>
      <c r="L24" s="27"/>
      <c r="M24" s="27"/>
      <c r="O24" s="2" t="s">
        <v>35</v>
      </c>
      <c r="Q24" s="31">
        <f>(4140/10455)*100</f>
        <v>39.598278335724537</v>
      </c>
      <c r="R24" s="6"/>
      <c r="S24" s="31">
        <f>(2865/11836)*100</f>
        <v>24.205812774586008</v>
      </c>
      <c r="T24" s="6"/>
      <c r="U24" s="31">
        <f>(1280/11872)*100</f>
        <v>10.781671159029651</v>
      </c>
      <c r="V24" s="6"/>
      <c r="W24" s="7"/>
      <c r="X24" s="3">
        <v>4140</v>
      </c>
      <c r="Y24" s="3">
        <v>10455</v>
      </c>
      <c r="Z24" s="3"/>
      <c r="AA24" s="38">
        <v>2865</v>
      </c>
      <c r="AB24" s="38">
        <v>11836</v>
      </c>
      <c r="AC24" s="3"/>
      <c r="AD24" s="3">
        <v>1280</v>
      </c>
      <c r="AE24" s="3">
        <v>11872</v>
      </c>
    </row>
    <row r="25" spans="1:31" x14ac:dyDescent="0.2">
      <c r="H25" s="2" t="s">
        <v>10</v>
      </c>
      <c r="I25" s="27">
        <v>2000</v>
      </c>
      <c r="J25" s="27"/>
      <c r="K25" s="28">
        <v>2500</v>
      </c>
      <c r="L25" s="27"/>
      <c r="M25" s="27">
        <v>2300</v>
      </c>
      <c r="Q25" s="31"/>
      <c r="R25" s="6"/>
      <c r="S25" s="6"/>
      <c r="T25" s="6"/>
      <c r="U25" s="6"/>
      <c r="V25" s="6"/>
      <c r="W25" s="7"/>
      <c r="X25" s="3"/>
      <c r="Y25" s="3"/>
      <c r="Z25" s="3"/>
      <c r="AA25" s="38"/>
      <c r="AB25" s="38"/>
      <c r="AC25" s="3"/>
      <c r="AD25" s="3"/>
      <c r="AE25" s="3"/>
    </row>
    <row r="26" spans="1:31" x14ac:dyDescent="0.2">
      <c r="A26" s="2" t="s">
        <v>42</v>
      </c>
      <c r="B26" s="3">
        <f>B24</f>
        <v>1640</v>
      </c>
      <c r="C26" s="3"/>
      <c r="D26" s="3">
        <f>D24</f>
        <v>865</v>
      </c>
      <c r="E26" s="3"/>
      <c r="F26" s="3">
        <f>F24</f>
        <v>-520</v>
      </c>
      <c r="H26" s="2" t="s">
        <v>58</v>
      </c>
      <c r="I26" s="27">
        <v>900</v>
      </c>
      <c r="J26" s="27"/>
      <c r="K26" s="28">
        <v>750</v>
      </c>
      <c r="L26" s="27"/>
      <c r="M26" s="27">
        <v>800</v>
      </c>
    </row>
    <row r="27" spans="1:31" x14ac:dyDescent="0.2">
      <c r="H27" s="2" t="s">
        <v>59</v>
      </c>
      <c r="I27" s="27">
        <v>871</v>
      </c>
      <c r="J27" s="27"/>
      <c r="K27" s="28">
        <v>408</v>
      </c>
      <c r="L27" s="27"/>
      <c r="M27" s="27">
        <v>620</v>
      </c>
    </row>
    <row r="28" spans="1:31" x14ac:dyDescent="0.2">
      <c r="H28" s="2" t="s">
        <v>60</v>
      </c>
      <c r="I28" s="27">
        <v>184</v>
      </c>
      <c r="J28" s="27"/>
      <c r="K28" s="28">
        <v>178</v>
      </c>
      <c r="L28" s="27"/>
      <c r="M28" s="27">
        <v>152</v>
      </c>
    </row>
    <row r="29" spans="1:31" x14ac:dyDescent="0.2">
      <c r="I29" s="27"/>
      <c r="J29" s="27"/>
      <c r="K29" s="28"/>
      <c r="L29" s="27"/>
      <c r="M29" s="27"/>
    </row>
    <row r="30" spans="1:31" x14ac:dyDescent="0.2">
      <c r="H30" s="2" t="s">
        <v>11</v>
      </c>
      <c r="I30" s="28">
        <f>SUM(I25:I28)</f>
        <v>3955</v>
      </c>
      <c r="J30" s="27"/>
      <c r="K30" s="28">
        <f>SUM(K25:K28)</f>
        <v>3836</v>
      </c>
      <c r="L30" s="27"/>
      <c r="M30" s="28">
        <f>SUM(M25:M28)</f>
        <v>3872</v>
      </c>
    </row>
    <row r="31" spans="1:31" x14ac:dyDescent="0.2">
      <c r="I31" s="27"/>
      <c r="J31" s="27"/>
      <c r="K31" s="28"/>
      <c r="L31" s="27"/>
      <c r="M31" s="27"/>
    </row>
    <row r="32" spans="1:31" x14ac:dyDescent="0.2">
      <c r="H32" s="2" t="s">
        <v>61</v>
      </c>
      <c r="I32" s="27"/>
      <c r="J32" s="27"/>
      <c r="K32" s="28"/>
      <c r="L32" s="27"/>
      <c r="M32" s="27"/>
    </row>
    <row r="33" spans="8:13" x14ac:dyDescent="0.2">
      <c r="H33" s="2" t="s">
        <v>62</v>
      </c>
      <c r="I33" s="27">
        <v>6500</v>
      </c>
      <c r="J33" s="27"/>
      <c r="K33" s="28">
        <v>8000</v>
      </c>
      <c r="L33" s="27"/>
      <c r="M33" s="27">
        <v>8000</v>
      </c>
    </row>
    <row r="34" spans="8:13" x14ac:dyDescent="0.2">
      <c r="H34" s="2" t="s">
        <v>64</v>
      </c>
      <c r="I34" s="28">
        <f>I33</f>
        <v>6500</v>
      </c>
      <c r="J34" s="27"/>
      <c r="K34" s="28">
        <f>K33</f>
        <v>8000</v>
      </c>
      <c r="L34" s="27"/>
      <c r="M34" s="28">
        <f>M33</f>
        <v>8000</v>
      </c>
    </row>
    <row r="35" spans="8:13" x14ac:dyDescent="0.2">
      <c r="I35" s="27"/>
      <c r="J35" s="27"/>
      <c r="K35" s="28"/>
      <c r="L35" s="27"/>
      <c r="M35" s="27"/>
    </row>
    <row r="36" spans="8:13" x14ac:dyDescent="0.2">
      <c r="H36" s="2" t="s">
        <v>63</v>
      </c>
      <c r="I36" s="28">
        <f>SUM(I30,I34)</f>
        <v>10455</v>
      </c>
      <c r="J36" s="27"/>
      <c r="K36" s="28">
        <f>SUM(K30,K34)</f>
        <v>11836</v>
      </c>
      <c r="L36" s="27"/>
      <c r="M36" s="28">
        <f>SUM(M30,M34)</f>
        <v>11872</v>
      </c>
    </row>
    <row r="37" spans="8:13" x14ac:dyDescent="0.2">
      <c r="I37" s="27"/>
      <c r="J37" s="27"/>
      <c r="K37" s="28"/>
      <c r="L37" s="27"/>
      <c r="M37" s="27"/>
    </row>
    <row r="38" spans="8:13" x14ac:dyDescent="0.2">
      <c r="H38" s="25" t="s">
        <v>57</v>
      </c>
      <c r="I38" s="28">
        <f>I21-I36</f>
        <v>16995</v>
      </c>
      <c r="J38" s="27"/>
      <c r="K38" s="28">
        <f>K21-K36</f>
        <v>11139</v>
      </c>
      <c r="L38" s="27"/>
      <c r="M38" s="28">
        <f>M21-M36</f>
        <v>10328</v>
      </c>
    </row>
    <row r="39" spans="8:13" x14ac:dyDescent="0.2">
      <c r="I39" s="27"/>
      <c r="J39" s="27"/>
      <c r="K39" s="28"/>
      <c r="L39" s="27"/>
      <c r="M39" s="27"/>
    </row>
    <row r="40" spans="8:13" x14ac:dyDescent="0.2">
      <c r="H40" s="2" t="s">
        <v>12</v>
      </c>
      <c r="I40" s="30">
        <f>SUM(I30,I34,I38)</f>
        <v>27450</v>
      </c>
      <c r="J40" s="29"/>
      <c r="K40" s="30">
        <f>SUM(K30,K34,K38)</f>
        <v>22975</v>
      </c>
      <c r="L40" s="29"/>
      <c r="M40" s="30">
        <f>SUM(M30,M34,M38)</f>
        <v>22200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selection activeCell="N5" sqref="N5"/>
    </sheetView>
  </sheetViews>
  <sheetFormatPr baseColWidth="10" defaultColWidth="8.83203125" defaultRowHeight="15" x14ac:dyDescent="0.2"/>
  <cols>
    <col min="1" max="1" width="11.1640625" style="2" bestFit="1" customWidth="1"/>
    <col min="2" max="2" width="9.5" bestFit="1" customWidth="1"/>
    <col min="3" max="3" width="12.6640625" bestFit="1" customWidth="1"/>
    <col min="4" max="4" width="10.6640625" bestFit="1" customWidth="1"/>
    <col min="5" max="5" width="11.1640625" bestFit="1" customWidth="1"/>
    <col min="7" max="7" width="9.33203125" customWidth="1"/>
    <col min="8" max="8" width="9.5" customWidth="1"/>
  </cols>
  <sheetData>
    <row r="1" spans="1:16" x14ac:dyDescent="0.2">
      <c r="E1" s="55" t="s">
        <v>69</v>
      </c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1">
        <v>2015</v>
      </c>
      <c r="B2" s="1">
        <v>2015</v>
      </c>
      <c r="C2" s="39">
        <v>2016</v>
      </c>
      <c r="D2" s="39">
        <v>2016</v>
      </c>
      <c r="E2" s="41">
        <v>2017</v>
      </c>
      <c r="F2" s="41">
        <v>2017</v>
      </c>
      <c r="G2" s="41">
        <v>2018</v>
      </c>
      <c r="H2" s="41">
        <v>2018</v>
      </c>
      <c r="I2" s="41">
        <v>2019</v>
      </c>
      <c r="J2" s="41">
        <v>2019</v>
      </c>
      <c r="K2" s="41">
        <v>2020</v>
      </c>
      <c r="L2" s="41">
        <v>2020</v>
      </c>
      <c r="M2" s="41">
        <v>2021</v>
      </c>
      <c r="N2" s="41">
        <v>2021</v>
      </c>
      <c r="O2" s="1"/>
      <c r="P2" s="1"/>
    </row>
    <row r="3" spans="1:16" x14ac:dyDescent="0.2">
      <c r="A3" s="1" t="s">
        <v>15</v>
      </c>
      <c r="B3" s="1" t="s">
        <v>14</v>
      </c>
      <c r="C3" s="38" t="s">
        <v>15</v>
      </c>
      <c r="D3" s="38" t="s">
        <v>14</v>
      </c>
      <c r="E3" s="41" t="s">
        <v>15</v>
      </c>
      <c r="F3" s="41" t="s">
        <v>14</v>
      </c>
      <c r="G3" s="41" t="s">
        <v>15</v>
      </c>
      <c r="H3" s="41" t="s">
        <v>14</v>
      </c>
      <c r="I3" s="41" t="s">
        <v>15</v>
      </c>
      <c r="J3" s="41" t="s">
        <v>14</v>
      </c>
      <c r="K3" s="41" t="s">
        <v>15</v>
      </c>
      <c r="L3" s="41" t="s">
        <v>14</v>
      </c>
      <c r="M3" s="41" t="s">
        <v>15</v>
      </c>
      <c r="N3" s="41" t="s">
        <v>14</v>
      </c>
      <c r="O3" s="1"/>
      <c r="P3" s="1"/>
    </row>
    <row r="4" spans="1:16" x14ac:dyDescent="0.2">
      <c r="A4" s="1"/>
      <c r="B4" s="1"/>
      <c r="C4" s="38"/>
      <c r="D4" s="38"/>
      <c r="E4" s="1"/>
      <c r="F4" s="1"/>
    </row>
    <row r="5" spans="1:16" x14ac:dyDescent="0.2">
      <c r="A5" s="3">
        <v>3872</v>
      </c>
      <c r="B5" s="3">
        <v>5200</v>
      </c>
      <c r="C5" s="38">
        <v>3836</v>
      </c>
      <c r="D5" s="38">
        <v>4975</v>
      </c>
      <c r="E5" s="3">
        <v>3955</v>
      </c>
      <c r="F5" s="3">
        <v>5450</v>
      </c>
      <c r="G5" s="40">
        <f>E5+(E5*2.1%)</f>
        <v>4038.0549999999998</v>
      </c>
      <c r="H5" s="40">
        <f>F5+(F5*2.1%)</f>
        <v>5564.45</v>
      </c>
      <c r="I5" s="40">
        <f>G5+(G5*1.4%)</f>
        <v>4094.5877699999996</v>
      </c>
      <c r="J5" s="40">
        <f>H5+(H5*1.4%)</f>
        <v>5642.3522999999996</v>
      </c>
      <c r="K5" s="40">
        <f>I5+(I5*5.6%)</f>
        <v>4323.8846851199996</v>
      </c>
      <c r="L5" s="40">
        <f>J5+(J5*5.6%)</f>
        <v>5958.3240287999997</v>
      </c>
      <c r="M5" s="40">
        <f>K5+(K5*1.5%)</f>
        <v>4388.7429553967995</v>
      </c>
      <c r="N5" s="40">
        <f>L5+(L5*1.5%)</f>
        <v>6047.6988892319996</v>
      </c>
      <c r="O5" s="40"/>
      <c r="P5" s="40"/>
    </row>
    <row r="6" spans="1:16" x14ac:dyDescent="0.2">
      <c r="A6" s="35">
        <v>58.219000000000001</v>
      </c>
      <c r="B6" s="3">
        <v>3750</v>
      </c>
      <c r="C6" s="38">
        <v>62.329000000000001</v>
      </c>
      <c r="D6" s="38">
        <v>3500</v>
      </c>
      <c r="E6" s="34">
        <v>63.014000000000003</v>
      </c>
      <c r="F6" s="3">
        <v>4000</v>
      </c>
      <c r="G6" s="40">
        <f t="shared" ref="G6:G21" si="0">E6+(E6*2.1%)</f>
        <v>64.337294</v>
      </c>
      <c r="H6" s="40">
        <f t="shared" ref="H6:H21" si="1">F6+(F6*2.1%)</f>
        <v>4084</v>
      </c>
      <c r="I6" s="40">
        <f t="shared" ref="I6:I21" si="2">G6+(G6*1.4%)</f>
        <v>65.238016115999997</v>
      </c>
      <c r="J6" s="40">
        <f t="shared" ref="J6:J21" si="3">H6+(H6*1.4%)</f>
        <v>4141.1760000000004</v>
      </c>
      <c r="K6" s="40">
        <f t="shared" ref="K6:K21" si="4">I6+(I6*5.6%)</f>
        <v>68.891345018495997</v>
      </c>
      <c r="L6" s="40">
        <f t="shared" ref="L6:L21" si="5">J6+(J6*5.6%)</f>
        <v>4373.0818560000007</v>
      </c>
      <c r="M6" s="40">
        <f t="shared" ref="M6:M21" si="6">K6+(K6*1.5%)</f>
        <v>69.924715193773437</v>
      </c>
      <c r="N6" s="40">
        <f t="shared" ref="N6:N21" si="7">L6+(L6*1.5%)</f>
        <v>4438.6780838400009</v>
      </c>
      <c r="O6" s="40"/>
      <c r="P6" s="40"/>
    </row>
    <row r="7" spans="1:16" x14ac:dyDescent="0.2">
      <c r="A7" s="35">
        <v>58.219000000000001</v>
      </c>
      <c r="B7" s="3">
        <v>600</v>
      </c>
      <c r="C7" s="38">
        <v>57.670999999999999</v>
      </c>
      <c r="D7" s="38">
        <v>675</v>
      </c>
      <c r="E7" s="35">
        <v>56.027000000000001</v>
      </c>
      <c r="F7" s="3">
        <v>700</v>
      </c>
      <c r="G7" s="40">
        <f t="shared" si="0"/>
        <v>57.203567</v>
      </c>
      <c r="H7" s="40">
        <f t="shared" si="1"/>
        <v>714.7</v>
      </c>
      <c r="I7" s="40">
        <f t="shared" si="2"/>
        <v>58.004416937999999</v>
      </c>
      <c r="J7" s="40">
        <f t="shared" si="3"/>
        <v>724.70580000000007</v>
      </c>
      <c r="K7" s="40">
        <f t="shared" si="4"/>
        <v>61.252664286527995</v>
      </c>
      <c r="L7" s="40">
        <f t="shared" si="5"/>
        <v>765.28932480000003</v>
      </c>
      <c r="M7" s="40">
        <f t="shared" si="6"/>
        <v>62.171454250825917</v>
      </c>
      <c r="N7" s="40">
        <f t="shared" si="7"/>
        <v>776.768664672</v>
      </c>
      <c r="O7" s="40"/>
      <c r="P7" s="40"/>
    </row>
    <row r="8" spans="1:16" x14ac:dyDescent="0.2">
      <c r="A8" s="35">
        <v>58.219000000000001</v>
      </c>
      <c r="B8" s="3">
        <v>770</v>
      </c>
      <c r="C8" s="38">
        <v>57.670999999999999</v>
      </c>
      <c r="D8" s="38">
        <v>860</v>
      </c>
      <c r="E8" s="35">
        <v>56.027000000000001</v>
      </c>
      <c r="F8" s="3">
        <v>965</v>
      </c>
      <c r="G8" s="40">
        <f t="shared" si="0"/>
        <v>57.203567</v>
      </c>
      <c r="H8" s="40">
        <f t="shared" si="1"/>
        <v>985.26499999999999</v>
      </c>
      <c r="I8" s="40">
        <f t="shared" si="2"/>
        <v>58.004416937999999</v>
      </c>
      <c r="J8" s="40">
        <f t="shared" si="3"/>
        <v>999.05871000000002</v>
      </c>
      <c r="K8" s="40">
        <f t="shared" si="4"/>
        <v>61.252664286527995</v>
      </c>
      <c r="L8" s="40">
        <f t="shared" si="5"/>
        <v>1055.0059977599999</v>
      </c>
      <c r="M8" s="40">
        <f t="shared" si="6"/>
        <v>62.171454250825917</v>
      </c>
      <c r="N8" s="40">
        <f t="shared" si="7"/>
        <v>1070.8310877263998</v>
      </c>
      <c r="O8" s="40"/>
      <c r="P8" s="40"/>
    </row>
    <row r="9" spans="1:16" x14ac:dyDescent="0.2">
      <c r="A9" s="35">
        <v>58.219000000000001</v>
      </c>
      <c r="B9" s="3">
        <v>3872</v>
      </c>
      <c r="C9" s="38">
        <v>57.670999999999999</v>
      </c>
      <c r="D9" s="38">
        <v>3836</v>
      </c>
      <c r="E9" s="35">
        <v>56.027000000000001</v>
      </c>
      <c r="F9" s="3">
        <v>3955</v>
      </c>
      <c r="G9" s="40">
        <f t="shared" si="0"/>
        <v>57.203567</v>
      </c>
      <c r="H9" s="40">
        <f t="shared" si="1"/>
        <v>4038.0549999999998</v>
      </c>
      <c r="I9" s="40">
        <f t="shared" si="2"/>
        <v>58.004416937999999</v>
      </c>
      <c r="J9" s="40">
        <f t="shared" si="3"/>
        <v>4094.5877699999996</v>
      </c>
      <c r="K9" s="40">
        <f t="shared" si="4"/>
        <v>61.252664286527995</v>
      </c>
      <c r="L9" s="40">
        <f t="shared" si="5"/>
        <v>4323.8846851199996</v>
      </c>
      <c r="M9" s="40">
        <f t="shared" si="6"/>
        <v>62.171454250825917</v>
      </c>
      <c r="N9" s="40">
        <f t="shared" si="7"/>
        <v>4388.7429553967995</v>
      </c>
      <c r="O9" s="40"/>
      <c r="P9" s="40"/>
    </row>
    <row r="10" spans="1:16" x14ac:dyDescent="0.2">
      <c r="A10" s="3">
        <v>22360</v>
      </c>
      <c r="B10" s="3">
        <v>-690</v>
      </c>
      <c r="C10" s="38">
        <v>23730</v>
      </c>
      <c r="D10" s="38">
        <v>680</v>
      </c>
      <c r="E10" s="3">
        <v>24325</v>
      </c>
      <c r="F10" s="3">
        <v>1375</v>
      </c>
      <c r="G10" s="40">
        <f t="shared" si="0"/>
        <v>24835.825000000001</v>
      </c>
      <c r="H10" s="40">
        <f t="shared" si="1"/>
        <v>1403.875</v>
      </c>
      <c r="I10" s="40">
        <f t="shared" si="2"/>
        <v>25183.526550000002</v>
      </c>
      <c r="J10" s="40">
        <f t="shared" si="3"/>
        <v>1423.52925</v>
      </c>
      <c r="K10" s="40">
        <f t="shared" si="4"/>
        <v>26593.804036800004</v>
      </c>
      <c r="L10" s="40">
        <f t="shared" si="5"/>
        <v>1503.2468880000001</v>
      </c>
      <c r="M10" s="40">
        <f t="shared" si="6"/>
        <v>26992.711097352003</v>
      </c>
      <c r="N10" s="40">
        <f t="shared" si="7"/>
        <v>1525.7955913200001</v>
      </c>
      <c r="O10" s="40"/>
      <c r="P10" s="40"/>
    </row>
    <row r="11" spans="1:16" x14ac:dyDescent="0.2">
      <c r="A11" s="3">
        <v>22360</v>
      </c>
      <c r="B11" s="3">
        <v>-520</v>
      </c>
      <c r="C11" s="38">
        <v>23730</v>
      </c>
      <c r="D11" s="38">
        <v>865</v>
      </c>
      <c r="E11" s="3">
        <v>24325</v>
      </c>
      <c r="F11" s="3">
        <v>1640</v>
      </c>
      <c r="G11" s="40">
        <f t="shared" si="0"/>
        <v>24835.825000000001</v>
      </c>
      <c r="H11" s="40">
        <f t="shared" si="1"/>
        <v>1674.44</v>
      </c>
      <c r="I11" s="40">
        <f t="shared" si="2"/>
        <v>25183.526550000002</v>
      </c>
      <c r="J11" s="40">
        <f t="shared" si="3"/>
        <v>1697.8821600000001</v>
      </c>
      <c r="K11" s="40">
        <f t="shared" si="4"/>
        <v>26593.804036800004</v>
      </c>
      <c r="L11" s="40">
        <f t="shared" si="5"/>
        <v>1792.96356096</v>
      </c>
      <c r="M11" s="40">
        <f t="shared" si="6"/>
        <v>26992.711097352003</v>
      </c>
      <c r="N11" s="40">
        <f t="shared" si="7"/>
        <v>1819.8580143744</v>
      </c>
      <c r="O11" s="40"/>
      <c r="P11" s="40"/>
    </row>
    <row r="12" spans="1:16" x14ac:dyDescent="0.2">
      <c r="A12" s="37">
        <v>10328</v>
      </c>
      <c r="B12" s="3">
        <v>-520</v>
      </c>
      <c r="C12" s="38">
        <v>11139</v>
      </c>
      <c r="D12" s="38">
        <v>865</v>
      </c>
      <c r="E12" s="36">
        <v>16995</v>
      </c>
      <c r="F12" s="3">
        <v>1640</v>
      </c>
      <c r="G12" s="40">
        <f t="shared" si="0"/>
        <v>17351.895</v>
      </c>
      <c r="H12" s="40">
        <f t="shared" si="1"/>
        <v>1674.44</v>
      </c>
      <c r="I12" s="40">
        <f t="shared" si="2"/>
        <v>17594.821530000001</v>
      </c>
      <c r="J12" s="40">
        <f t="shared" si="3"/>
        <v>1697.8821600000001</v>
      </c>
      <c r="K12" s="40">
        <f t="shared" si="4"/>
        <v>18580.131535680001</v>
      </c>
      <c r="L12" s="40">
        <f t="shared" si="5"/>
        <v>1792.96356096</v>
      </c>
      <c r="M12" s="40">
        <f t="shared" si="6"/>
        <v>18858.833508715201</v>
      </c>
      <c r="N12" s="40">
        <f t="shared" si="7"/>
        <v>1819.8580143744</v>
      </c>
      <c r="O12" s="40"/>
      <c r="P12" s="40"/>
    </row>
    <row r="13" spans="1:16" x14ac:dyDescent="0.2">
      <c r="A13" s="36">
        <v>22200</v>
      </c>
      <c r="B13" s="3">
        <v>22530</v>
      </c>
      <c r="C13" s="38">
        <v>22975</v>
      </c>
      <c r="D13" s="38">
        <v>23915</v>
      </c>
      <c r="E13" s="36">
        <v>27450</v>
      </c>
      <c r="F13" s="3">
        <v>24590</v>
      </c>
      <c r="G13" s="40">
        <f t="shared" si="0"/>
        <v>28026.45</v>
      </c>
      <c r="H13" s="40">
        <f t="shared" si="1"/>
        <v>25106.39</v>
      </c>
      <c r="I13" s="40">
        <f t="shared" si="2"/>
        <v>28418.820299999999</v>
      </c>
      <c r="J13" s="40">
        <f t="shared" si="3"/>
        <v>25457.87946</v>
      </c>
      <c r="K13" s="40">
        <f t="shared" si="4"/>
        <v>30010.2742368</v>
      </c>
      <c r="L13" s="40">
        <f t="shared" si="5"/>
        <v>26883.52070976</v>
      </c>
      <c r="M13" s="40">
        <f t="shared" si="6"/>
        <v>30460.428350351998</v>
      </c>
      <c r="N13" s="40">
        <f t="shared" si="7"/>
        <v>27286.773520406401</v>
      </c>
      <c r="O13" s="40"/>
      <c r="P13" s="40"/>
    </row>
    <row r="14" spans="1:16" x14ac:dyDescent="0.2">
      <c r="A14" s="3">
        <v>1800</v>
      </c>
      <c r="B14" s="3">
        <v>16000</v>
      </c>
      <c r="C14" s="38">
        <v>2000</v>
      </c>
      <c r="D14" s="38">
        <v>17000</v>
      </c>
      <c r="E14" s="3">
        <v>2500</v>
      </c>
      <c r="F14" s="3">
        <v>18000</v>
      </c>
      <c r="G14" s="40">
        <f t="shared" si="0"/>
        <v>2552.5</v>
      </c>
      <c r="H14" s="40">
        <f t="shared" si="1"/>
        <v>18378</v>
      </c>
      <c r="I14" s="40">
        <f t="shared" si="2"/>
        <v>2588.2350000000001</v>
      </c>
      <c r="J14" s="40">
        <f t="shared" si="3"/>
        <v>18635.292000000001</v>
      </c>
      <c r="K14" s="40">
        <f t="shared" si="4"/>
        <v>2733.17616</v>
      </c>
      <c r="L14" s="40">
        <f t="shared" si="5"/>
        <v>19678.868352000001</v>
      </c>
      <c r="M14" s="40">
        <f t="shared" si="6"/>
        <v>2774.1738024000001</v>
      </c>
      <c r="N14" s="40">
        <f t="shared" si="7"/>
        <v>19974.05137728</v>
      </c>
      <c r="O14" s="40"/>
      <c r="P14" s="40"/>
    </row>
    <row r="15" spans="1:16" x14ac:dyDescent="0.2">
      <c r="A15" s="3">
        <v>7000</v>
      </c>
      <c r="B15" s="3">
        <v>22530</v>
      </c>
      <c r="C15" s="38">
        <v>7000</v>
      </c>
      <c r="D15" s="38">
        <v>23915</v>
      </c>
      <c r="E15" s="3">
        <v>8500</v>
      </c>
      <c r="F15" s="3">
        <v>24590</v>
      </c>
      <c r="G15" s="40">
        <f t="shared" si="0"/>
        <v>8678.5</v>
      </c>
      <c r="H15" s="40">
        <f t="shared" si="1"/>
        <v>25106.39</v>
      </c>
      <c r="I15" s="40">
        <f t="shared" si="2"/>
        <v>8799.9989999999998</v>
      </c>
      <c r="J15" s="40">
        <f t="shared" si="3"/>
        <v>25457.87946</v>
      </c>
      <c r="K15" s="40">
        <f t="shared" si="4"/>
        <v>9292.7989440000001</v>
      </c>
      <c r="L15" s="40">
        <f t="shared" si="5"/>
        <v>26883.52070976</v>
      </c>
      <c r="M15" s="40">
        <f t="shared" si="6"/>
        <v>9432.1909281600001</v>
      </c>
      <c r="N15" s="40">
        <f t="shared" si="7"/>
        <v>27286.773520406401</v>
      </c>
      <c r="O15" s="40"/>
      <c r="P15" s="40"/>
    </row>
    <row r="16" spans="1:16" x14ac:dyDescent="0.2">
      <c r="A16" s="3">
        <v>5200</v>
      </c>
      <c r="B16" s="3">
        <v>22530</v>
      </c>
      <c r="C16" s="38">
        <v>4975</v>
      </c>
      <c r="D16" s="38">
        <v>23915</v>
      </c>
      <c r="E16" s="3">
        <v>5450</v>
      </c>
      <c r="F16" s="3">
        <v>24590</v>
      </c>
      <c r="G16" s="40">
        <f t="shared" si="0"/>
        <v>5564.45</v>
      </c>
      <c r="H16" s="40">
        <f t="shared" si="1"/>
        <v>25106.39</v>
      </c>
      <c r="I16" s="40">
        <f t="shared" si="2"/>
        <v>5642.3522999999996</v>
      </c>
      <c r="J16" s="40">
        <f t="shared" si="3"/>
        <v>25457.87946</v>
      </c>
      <c r="K16" s="40">
        <f t="shared" si="4"/>
        <v>5958.3240287999997</v>
      </c>
      <c r="L16" s="40">
        <f t="shared" si="5"/>
        <v>26883.52070976</v>
      </c>
      <c r="M16" s="40">
        <f t="shared" si="6"/>
        <v>6047.6988892319996</v>
      </c>
      <c r="N16" s="40">
        <f t="shared" si="7"/>
        <v>27286.773520406401</v>
      </c>
      <c r="O16" s="40"/>
      <c r="P16" s="40"/>
    </row>
    <row r="17" spans="1:16" x14ac:dyDescent="0.2">
      <c r="A17" s="3">
        <v>850</v>
      </c>
      <c r="B17" s="3">
        <v>22530</v>
      </c>
      <c r="C17" s="38">
        <v>800</v>
      </c>
      <c r="D17" s="38">
        <v>23915</v>
      </c>
      <c r="E17" s="3">
        <v>750</v>
      </c>
      <c r="F17" s="3">
        <v>24590</v>
      </c>
      <c r="G17" s="40">
        <f t="shared" si="0"/>
        <v>765.75</v>
      </c>
      <c r="H17" s="40">
        <f t="shared" si="1"/>
        <v>25106.39</v>
      </c>
      <c r="I17" s="40">
        <f t="shared" si="2"/>
        <v>776.47050000000002</v>
      </c>
      <c r="J17" s="40">
        <f t="shared" si="3"/>
        <v>25457.87946</v>
      </c>
      <c r="K17" s="40">
        <f t="shared" si="4"/>
        <v>819.95284800000002</v>
      </c>
      <c r="L17" s="40">
        <f t="shared" si="5"/>
        <v>26883.52070976</v>
      </c>
      <c r="M17" s="40">
        <f t="shared" si="6"/>
        <v>832.25214072000006</v>
      </c>
      <c r="N17" s="40">
        <f t="shared" si="7"/>
        <v>27286.773520406401</v>
      </c>
      <c r="O17" s="40"/>
      <c r="P17" s="40"/>
    </row>
    <row r="18" spans="1:16" x14ac:dyDescent="0.2">
      <c r="A18" s="3">
        <v>22200</v>
      </c>
      <c r="B18" s="3">
        <v>10328</v>
      </c>
      <c r="C18" s="38">
        <v>22975</v>
      </c>
      <c r="D18" s="38">
        <v>11139</v>
      </c>
      <c r="E18" s="3">
        <v>27450</v>
      </c>
      <c r="F18" s="3">
        <v>16995</v>
      </c>
      <c r="G18" s="40">
        <f t="shared" si="0"/>
        <v>28026.45</v>
      </c>
      <c r="H18" s="40">
        <f t="shared" si="1"/>
        <v>17351.895</v>
      </c>
      <c r="I18" s="40">
        <f t="shared" si="2"/>
        <v>28418.820299999999</v>
      </c>
      <c r="J18" s="40">
        <f t="shared" si="3"/>
        <v>17594.821530000001</v>
      </c>
      <c r="K18" s="40">
        <f t="shared" si="4"/>
        <v>30010.2742368</v>
      </c>
      <c r="L18" s="40">
        <f t="shared" si="5"/>
        <v>18580.131535680001</v>
      </c>
      <c r="M18" s="40">
        <f t="shared" si="6"/>
        <v>30460.428350351998</v>
      </c>
      <c r="N18" s="40">
        <f t="shared" si="7"/>
        <v>18858.833508715201</v>
      </c>
      <c r="O18" s="40"/>
      <c r="P18" s="40"/>
    </row>
    <row r="19" spans="1:16" x14ac:dyDescent="0.2">
      <c r="A19" s="3">
        <v>18328</v>
      </c>
      <c r="B19" s="3">
        <v>8000</v>
      </c>
      <c r="C19" s="38">
        <v>19139</v>
      </c>
      <c r="D19" s="38">
        <v>8000</v>
      </c>
      <c r="E19" s="3">
        <v>23495</v>
      </c>
      <c r="F19" s="3">
        <v>6500</v>
      </c>
      <c r="G19" s="40">
        <f t="shared" si="0"/>
        <v>23988.395</v>
      </c>
      <c r="H19" s="40">
        <f t="shared" si="1"/>
        <v>6636.5</v>
      </c>
      <c r="I19" s="40">
        <f t="shared" si="2"/>
        <v>24324.232530000001</v>
      </c>
      <c r="J19" s="40">
        <f t="shared" si="3"/>
        <v>6729.4110000000001</v>
      </c>
      <c r="K19" s="40">
        <f t="shared" si="4"/>
        <v>25686.38955168</v>
      </c>
      <c r="L19" s="40">
        <f t="shared" si="5"/>
        <v>7106.2580159999998</v>
      </c>
      <c r="M19" s="40">
        <f t="shared" si="6"/>
        <v>26071.685394955199</v>
      </c>
      <c r="N19" s="40">
        <f t="shared" si="7"/>
        <v>7212.8518862399997</v>
      </c>
      <c r="O19" s="40"/>
      <c r="P19" s="40"/>
    </row>
    <row r="20" spans="1:16" x14ac:dyDescent="0.2">
      <c r="A20" s="3">
        <v>252</v>
      </c>
      <c r="B20" s="3">
        <v>1380</v>
      </c>
      <c r="C20" s="38">
        <v>328</v>
      </c>
      <c r="D20" s="38">
        <v>3015</v>
      </c>
      <c r="E20" s="3">
        <v>384</v>
      </c>
      <c r="F20" s="3">
        <v>4340</v>
      </c>
      <c r="G20" s="40">
        <f t="shared" si="0"/>
        <v>392.06400000000002</v>
      </c>
      <c r="H20" s="40">
        <f t="shared" si="1"/>
        <v>4431.1400000000003</v>
      </c>
      <c r="I20" s="40">
        <f t="shared" si="2"/>
        <v>397.55289600000003</v>
      </c>
      <c r="J20" s="40">
        <f t="shared" si="3"/>
        <v>4493.1759600000005</v>
      </c>
      <c r="K20" s="40">
        <f t="shared" si="4"/>
        <v>419.81585817600001</v>
      </c>
      <c r="L20" s="40">
        <f t="shared" si="5"/>
        <v>4744.7938137600004</v>
      </c>
      <c r="M20" s="40">
        <f t="shared" si="6"/>
        <v>426.11309604863999</v>
      </c>
      <c r="N20" s="40">
        <f t="shared" si="7"/>
        <v>4815.9657209664001</v>
      </c>
      <c r="O20" s="40"/>
      <c r="P20" s="40"/>
    </row>
    <row r="21" spans="1:16" x14ac:dyDescent="0.2">
      <c r="A21" s="3">
        <v>11872</v>
      </c>
      <c r="B21" s="3">
        <v>1280</v>
      </c>
      <c r="C21" s="38">
        <v>11836</v>
      </c>
      <c r="D21" s="38">
        <v>2865</v>
      </c>
      <c r="E21" s="3">
        <v>10455</v>
      </c>
      <c r="F21" s="3">
        <v>4140</v>
      </c>
      <c r="G21" s="40">
        <f t="shared" si="0"/>
        <v>10674.555</v>
      </c>
      <c r="H21" s="40">
        <f t="shared" si="1"/>
        <v>4226.9399999999996</v>
      </c>
      <c r="I21" s="40">
        <f t="shared" si="2"/>
        <v>10823.99877</v>
      </c>
      <c r="J21" s="40">
        <f t="shared" si="3"/>
        <v>4286.1171599999998</v>
      </c>
      <c r="K21" s="40">
        <f t="shared" si="4"/>
        <v>11430.142701119999</v>
      </c>
      <c r="L21" s="40">
        <f t="shared" si="5"/>
        <v>4526.13972096</v>
      </c>
      <c r="M21" s="40">
        <f t="shared" si="6"/>
        <v>11601.594841636799</v>
      </c>
      <c r="N21" s="40">
        <f t="shared" si="7"/>
        <v>4594.0318167743999</v>
      </c>
      <c r="O21" s="40"/>
      <c r="P21" s="40"/>
    </row>
    <row r="22" spans="1:16" x14ac:dyDescent="0.2">
      <c r="A22" s="3"/>
    </row>
  </sheetData>
  <mergeCells count="1">
    <mergeCell ref="E1:N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tabSelected="1" workbookViewId="0">
      <selection activeCell="C29" sqref="C29"/>
    </sheetView>
  </sheetViews>
  <sheetFormatPr baseColWidth="10" defaultColWidth="51" defaultRowHeight="15" x14ac:dyDescent="0.2"/>
  <cols>
    <col min="1" max="1" width="51" style="42"/>
    <col min="2" max="2" width="7.33203125" style="42" customWidth="1"/>
    <col min="3" max="16384" width="51" style="42"/>
  </cols>
  <sheetData>
    <row r="1" spans="1:3" x14ac:dyDescent="0.2">
      <c r="A1" s="68" t="s">
        <v>70</v>
      </c>
      <c r="B1" s="68"/>
      <c r="C1" s="68"/>
    </row>
    <row r="2" spans="1:3" x14ac:dyDescent="0.2">
      <c r="A2" s="68" t="s">
        <v>103</v>
      </c>
      <c r="B2" s="68"/>
      <c r="C2" s="68"/>
    </row>
    <row r="3" spans="1:3" x14ac:dyDescent="0.2">
      <c r="A3" s="68" t="s">
        <v>71</v>
      </c>
      <c r="B3" s="68"/>
      <c r="C3" s="68"/>
    </row>
    <row r="4" spans="1:3" x14ac:dyDescent="0.2">
      <c r="A4" s="68" t="s">
        <v>102</v>
      </c>
      <c r="B4" s="68"/>
      <c r="C4" s="68"/>
    </row>
    <row r="5" spans="1:3" ht="16" thickBot="1" x14ac:dyDescent="0.25">
      <c r="A5" s="43"/>
      <c r="B5" s="43"/>
      <c r="C5" s="43"/>
    </row>
    <row r="6" spans="1:3" ht="16" thickBot="1" x14ac:dyDescent="0.25">
      <c r="A6" s="44" t="s">
        <v>72</v>
      </c>
      <c r="B6" s="45"/>
      <c r="C6" s="46" t="s">
        <v>73</v>
      </c>
    </row>
    <row r="7" spans="1:3" ht="16" thickBot="1" x14ac:dyDescent="0.25">
      <c r="A7" s="47" t="s">
        <v>74</v>
      </c>
      <c r="B7" s="48"/>
      <c r="C7" s="49" t="s">
        <v>75</v>
      </c>
    </row>
    <row r="8" spans="1:3" ht="16" thickBot="1" x14ac:dyDescent="0.25">
      <c r="A8" s="48" t="s">
        <v>76</v>
      </c>
      <c r="B8" s="48"/>
      <c r="C8" s="49" t="s">
        <v>75</v>
      </c>
    </row>
    <row r="9" spans="1:3" ht="16" thickBot="1" x14ac:dyDescent="0.25">
      <c r="A9" s="48" t="s">
        <v>77</v>
      </c>
      <c r="B9" s="48"/>
      <c r="C9" s="49" t="s">
        <v>75</v>
      </c>
    </row>
    <row r="10" spans="1:3" ht="16" thickBot="1" x14ac:dyDescent="0.25">
      <c r="A10" s="56" t="s">
        <v>78</v>
      </c>
      <c r="B10" s="57"/>
      <c r="C10" s="49" t="s">
        <v>75</v>
      </c>
    </row>
    <row r="11" spans="1:3" ht="16" thickBot="1" x14ac:dyDescent="0.25">
      <c r="A11" s="56" t="s">
        <v>79</v>
      </c>
      <c r="B11" s="57"/>
      <c r="C11" s="49" t="s">
        <v>75</v>
      </c>
    </row>
    <row r="12" spans="1:3" ht="16" thickBot="1" x14ac:dyDescent="0.25">
      <c r="A12" s="56" t="s">
        <v>80</v>
      </c>
      <c r="B12" s="57"/>
      <c r="C12" s="49" t="s">
        <v>75</v>
      </c>
    </row>
    <row r="13" spans="1:3" ht="16" thickBot="1" x14ac:dyDescent="0.25">
      <c r="A13" s="56" t="s">
        <v>81</v>
      </c>
      <c r="B13" s="57"/>
      <c r="C13" s="49" t="s">
        <v>75</v>
      </c>
    </row>
    <row r="14" spans="1:3" ht="16" thickBot="1" x14ac:dyDescent="0.25">
      <c r="A14" s="66" t="s">
        <v>82</v>
      </c>
      <c r="B14" s="67"/>
      <c r="C14" s="50">
        <v>150000</v>
      </c>
    </row>
    <row r="15" spans="1:3" ht="16" thickBot="1" x14ac:dyDescent="0.25">
      <c r="A15" s="47"/>
      <c r="B15" s="48"/>
      <c r="C15" s="49"/>
    </row>
    <row r="16" spans="1:3" ht="16" thickBot="1" x14ac:dyDescent="0.25">
      <c r="A16" s="47" t="s">
        <v>83</v>
      </c>
      <c r="B16" s="48"/>
      <c r="C16" s="49" t="s">
        <v>75</v>
      </c>
    </row>
    <row r="17" spans="1:3" ht="16" thickBot="1" x14ac:dyDescent="0.25">
      <c r="A17" s="56" t="s">
        <v>84</v>
      </c>
      <c r="B17" s="57"/>
      <c r="C17" s="49" t="s">
        <v>75</v>
      </c>
    </row>
    <row r="18" spans="1:3" ht="16" thickBot="1" x14ac:dyDescent="0.25">
      <c r="A18" s="56" t="s">
        <v>85</v>
      </c>
      <c r="B18" s="57"/>
      <c r="C18" s="49" t="s">
        <v>75</v>
      </c>
    </row>
    <row r="19" spans="1:3" ht="16" thickBot="1" x14ac:dyDescent="0.25">
      <c r="A19" s="47" t="s">
        <v>86</v>
      </c>
      <c r="B19" s="48"/>
      <c r="C19" s="50">
        <v>100000</v>
      </c>
    </row>
    <row r="20" spans="1:3" ht="16" thickBot="1" x14ac:dyDescent="0.25">
      <c r="A20" s="47"/>
      <c r="B20" s="48"/>
      <c r="C20" s="49"/>
    </row>
    <row r="21" spans="1:3" ht="16" thickBot="1" x14ac:dyDescent="0.25">
      <c r="A21" s="47" t="s">
        <v>87</v>
      </c>
      <c r="B21" s="48"/>
      <c r="C21" s="49" t="s">
        <v>101</v>
      </c>
    </row>
    <row r="22" spans="1:3" ht="16" thickBot="1" x14ac:dyDescent="0.25">
      <c r="A22" s="56" t="s">
        <v>88</v>
      </c>
      <c r="B22" s="57"/>
      <c r="C22" s="54">
        <f>'Salary projections'!N5*35</f>
        <v>211669.46112311998</v>
      </c>
    </row>
    <row r="23" spans="1:3" ht="16" thickBot="1" x14ac:dyDescent="0.25">
      <c r="A23" s="56" t="s">
        <v>89</v>
      </c>
      <c r="B23" s="57"/>
      <c r="C23" s="54">
        <f>'Salary projections'!N6*20</f>
        <v>88773.561676800018</v>
      </c>
    </row>
    <row r="24" spans="1:3" ht="16" thickBot="1" x14ac:dyDescent="0.25">
      <c r="A24" s="56" t="s">
        <v>90</v>
      </c>
      <c r="B24" s="57"/>
      <c r="C24" s="54">
        <f>'Salary projections'!N7*5</f>
        <v>3883.8433233599999</v>
      </c>
    </row>
    <row r="25" spans="1:3" ht="16" thickBot="1" x14ac:dyDescent="0.25">
      <c r="A25" s="66" t="s">
        <v>91</v>
      </c>
      <c r="B25" s="67"/>
      <c r="C25" s="52" t="s">
        <v>104</v>
      </c>
    </row>
    <row r="26" spans="1:3" ht="16" thickBot="1" x14ac:dyDescent="0.25">
      <c r="A26" s="56" t="s">
        <v>92</v>
      </c>
      <c r="B26" s="57"/>
      <c r="C26" s="51">
        <f>(SUM(C22,C23,C24)*6.2%)</f>
        <v>18868.265699643362</v>
      </c>
    </row>
    <row r="27" spans="1:3" ht="16" thickBot="1" x14ac:dyDescent="0.25">
      <c r="A27" s="48" t="s">
        <v>93</v>
      </c>
      <c r="B27" s="48"/>
      <c r="C27" s="51">
        <f>(SUM(C22,C23,C24)*7.65%)</f>
        <v>23281.00525843092</v>
      </c>
    </row>
    <row r="28" spans="1:3" ht="16" thickBot="1" x14ac:dyDescent="0.25">
      <c r="A28" s="56" t="s">
        <v>94</v>
      </c>
      <c r="B28" s="57"/>
      <c r="C28" s="51">
        <f>(SUM(C22,C23,C24)*6.1%)</f>
        <v>18563.938833520082</v>
      </c>
    </row>
    <row r="29" spans="1:3" ht="16" thickBot="1" x14ac:dyDescent="0.25">
      <c r="A29" s="56" t="s">
        <v>95</v>
      </c>
      <c r="B29" s="57"/>
      <c r="C29" s="51">
        <f>(SUM(C22,C23,C24)*14%)</f>
        <v>42605.761257259204</v>
      </c>
    </row>
    <row r="30" spans="1:3" ht="16" thickBot="1" x14ac:dyDescent="0.25">
      <c r="A30" s="56" t="s">
        <v>96</v>
      </c>
      <c r="B30" s="57"/>
      <c r="C30" s="51">
        <f>(SUM(C22,C23,C24)*1.45%)</f>
        <v>4412.7395587875599</v>
      </c>
    </row>
    <row r="31" spans="1:3" ht="16" thickBot="1" x14ac:dyDescent="0.25">
      <c r="A31" s="56" t="s">
        <v>97</v>
      </c>
      <c r="B31" s="57"/>
      <c r="C31" s="51">
        <f>(SUM(C22,C23,C24)*12%)</f>
        <v>36519.223934793605</v>
      </c>
    </row>
    <row r="32" spans="1:3" ht="16" thickBot="1" x14ac:dyDescent="0.25">
      <c r="A32" s="47" t="s">
        <v>98</v>
      </c>
      <c r="B32" s="48"/>
      <c r="C32" s="50">
        <f>(SUM(C22:C24)+SUM(C26:C31))</f>
        <v>448577.80066571478</v>
      </c>
    </row>
    <row r="33" spans="1:3" ht="16" thickBot="1" x14ac:dyDescent="0.25">
      <c r="A33" s="43"/>
      <c r="B33" s="43"/>
      <c r="C33" s="43"/>
    </row>
    <row r="34" spans="1:3" x14ac:dyDescent="0.2">
      <c r="A34" s="58" t="s">
        <v>99</v>
      </c>
      <c r="B34" s="59"/>
      <c r="C34" s="62">
        <f>SUM(C14,C19,C32)</f>
        <v>698577.80066571478</v>
      </c>
    </row>
    <row r="35" spans="1:3" ht="16" thickBot="1" x14ac:dyDescent="0.25">
      <c r="A35" s="60"/>
      <c r="B35" s="61"/>
      <c r="C35" s="63"/>
    </row>
    <row r="36" spans="1:3" ht="16" thickBot="1" x14ac:dyDescent="0.25">
      <c r="A36" s="64" t="s">
        <v>100</v>
      </c>
      <c r="B36" s="65"/>
      <c r="C36" s="53">
        <f>2000*55</f>
        <v>110000</v>
      </c>
    </row>
  </sheetData>
  <mergeCells count="23">
    <mergeCell ref="A11:B11"/>
    <mergeCell ref="A1:C1"/>
    <mergeCell ref="A2:C2"/>
    <mergeCell ref="A3:C3"/>
    <mergeCell ref="A4:C4"/>
    <mergeCell ref="A10:B10"/>
    <mergeCell ref="A29:B29"/>
    <mergeCell ref="A12:B12"/>
    <mergeCell ref="A13:B13"/>
    <mergeCell ref="A14:B14"/>
    <mergeCell ref="A17:B17"/>
    <mergeCell ref="A18:B18"/>
    <mergeCell ref="A22:B22"/>
    <mergeCell ref="A23:B23"/>
    <mergeCell ref="A24:B24"/>
    <mergeCell ref="A25:B25"/>
    <mergeCell ref="A26:B26"/>
    <mergeCell ref="A28:B28"/>
    <mergeCell ref="A30:B30"/>
    <mergeCell ref="A31:B31"/>
    <mergeCell ref="A34:B35"/>
    <mergeCell ref="C34:C35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NCU AMC Financials</vt:lpstr>
      <vt:lpstr>Salary projections</vt:lpstr>
      <vt:lpstr>Total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DrJT</dc:creator>
  <cp:lastModifiedBy>stacy goen</cp:lastModifiedBy>
  <cp:lastPrinted>2018-04-23T01:39:47Z</cp:lastPrinted>
  <dcterms:created xsi:type="dcterms:W3CDTF">2018-04-22T20:08:29Z</dcterms:created>
  <dcterms:modified xsi:type="dcterms:W3CDTF">2021-04-16T16:37:58Z</dcterms:modified>
</cp:coreProperties>
</file>